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-ohkawara\Dropbox\Foods log\"/>
    </mc:Choice>
  </mc:AlternateContent>
  <bookViews>
    <workbookView xWindow="0" yWindow="0" windowWidth="18343" windowHeight="7783" tabRatio="846"/>
  </bookViews>
  <sheets>
    <sheet name="基データ" sheetId="1" r:id="rId1"/>
    <sheet name="摂取カロリーと体重増減関係" sheetId="3" r:id="rId2"/>
    <sheet name="(前々日と前日)のカロリー差合算と当日朝体重増減関係" sheetId="4" r:id="rId3"/>
  </sheets>
  <definedNames>
    <definedName name="_xlnm.Print_Area" localSheetId="2">'(前々日と前日)のカロリー差合算と当日朝体重増減関係'!$E$86:$AC$169</definedName>
    <definedName name="_xlnm.Print_Area" localSheetId="0">基データ!$N$1:$AD$73</definedName>
    <definedName name="_xlnm.Print_Area" localSheetId="1">摂取カロリーと体重増減関係!$D$1:$AC$37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7" i="3" l="1"/>
  <c r="C207" i="4"/>
  <c r="D206" i="4"/>
  <c r="C206" i="4"/>
  <c r="B206" i="4"/>
  <c r="D205" i="4"/>
  <c r="C205" i="4"/>
  <c r="B205" i="4"/>
  <c r="D204" i="4"/>
  <c r="C204" i="4"/>
  <c r="B204" i="4"/>
  <c r="D203" i="4"/>
  <c r="C203" i="4"/>
  <c r="B203" i="4"/>
  <c r="C206" i="3"/>
  <c r="B206" i="3"/>
  <c r="C205" i="3"/>
  <c r="B205" i="3"/>
  <c r="C204" i="3"/>
  <c r="B204" i="3"/>
  <c r="C203" i="3"/>
  <c r="B203" i="3"/>
  <c r="C202" i="3"/>
  <c r="B202" i="3"/>
  <c r="C201" i="3"/>
  <c r="B201" i="3"/>
  <c r="C200" i="3"/>
  <c r="B200" i="3"/>
  <c r="A207" i="3"/>
  <c r="A208" i="3"/>
  <c r="A209" i="3"/>
  <c r="A210" i="3"/>
  <c r="A211" i="3"/>
  <c r="A212" i="3"/>
  <c r="A213" i="3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D202" i="4"/>
  <c r="C202" i="4"/>
  <c r="B202" i="4"/>
  <c r="D201" i="4"/>
  <c r="C201" i="4"/>
  <c r="B201" i="4"/>
  <c r="D207" i="1"/>
  <c r="E207" i="1"/>
  <c r="I207" i="1"/>
  <c r="J207" i="1"/>
  <c r="M206" i="1"/>
  <c r="G206" i="1"/>
  <c r="E206" i="1"/>
  <c r="G205" i="1"/>
  <c r="E205" i="1"/>
  <c r="M204" i="1"/>
  <c r="G204" i="1"/>
  <c r="E204" i="1"/>
  <c r="M202" i="1"/>
  <c r="G202" i="1"/>
  <c r="E202" i="1"/>
  <c r="M201" i="1"/>
  <c r="G201" i="1"/>
  <c r="G203" i="1"/>
  <c r="L203" i="1"/>
  <c r="I203" i="1"/>
  <c r="J203" i="1"/>
  <c r="H203" i="1"/>
  <c r="E203" i="1"/>
  <c r="D203" i="1"/>
  <c r="D206" i="1"/>
  <c r="D205" i="1"/>
  <c r="D204" i="1"/>
  <c r="D202" i="1"/>
  <c r="D201" i="1"/>
  <c r="E201" i="1"/>
  <c r="M200" i="1"/>
  <c r="L206" i="1"/>
  <c r="I206" i="1"/>
  <c r="J206" i="1"/>
  <c r="H206" i="1"/>
  <c r="L205" i="1"/>
  <c r="I205" i="1"/>
  <c r="J205" i="1"/>
  <c r="H205" i="1"/>
  <c r="L204" i="1"/>
  <c r="I204" i="1"/>
  <c r="J204" i="1"/>
  <c r="H204" i="1"/>
  <c r="L202" i="1"/>
  <c r="I202" i="1"/>
  <c r="J202" i="1"/>
  <c r="H202" i="1"/>
  <c r="L201" i="1"/>
  <c r="I201" i="1"/>
  <c r="J201" i="1"/>
  <c r="H201" i="1"/>
  <c r="L200" i="1"/>
  <c r="I200" i="1"/>
  <c r="J200" i="1"/>
  <c r="H200" i="1"/>
  <c r="G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B198" i="3"/>
  <c r="B199" i="3"/>
  <c r="B200" i="4"/>
  <c r="B197" i="3"/>
  <c r="B199" i="4"/>
  <c r="B196" i="3"/>
  <c r="B198" i="4"/>
  <c r="B195" i="3"/>
  <c r="B197" i="4"/>
  <c r="B194" i="3"/>
  <c r="B196" i="4"/>
  <c r="B193" i="3"/>
  <c r="B195" i="4"/>
  <c r="B192" i="3"/>
  <c r="B194" i="4"/>
  <c r="B191" i="3"/>
  <c r="B193" i="4"/>
  <c r="B190" i="3"/>
  <c r="B192" i="4"/>
  <c r="B189" i="3"/>
  <c r="B191" i="4"/>
  <c r="B188" i="3"/>
  <c r="B190" i="4"/>
  <c r="B187" i="3"/>
  <c r="B189" i="4"/>
  <c r="B186" i="3"/>
  <c r="B188" i="4"/>
  <c r="B185" i="3"/>
  <c r="B187" i="4"/>
  <c r="B184" i="3"/>
  <c r="B186" i="4"/>
  <c r="B183" i="3"/>
  <c r="B185" i="4"/>
  <c r="B182" i="3"/>
  <c r="B184" i="4"/>
  <c r="B181" i="3"/>
  <c r="B183" i="4"/>
  <c r="B180" i="3"/>
  <c r="B182" i="4"/>
  <c r="B179" i="3"/>
  <c r="B181" i="4"/>
  <c r="B178" i="3"/>
  <c r="B180" i="4"/>
  <c r="B177" i="3"/>
  <c r="B179" i="4"/>
  <c r="B176" i="3"/>
  <c r="B178" i="4"/>
  <c r="B175" i="3"/>
  <c r="B177" i="4"/>
  <c r="B174" i="3"/>
  <c r="B176" i="4"/>
  <c r="B173" i="3"/>
  <c r="B175" i="4"/>
  <c r="B172" i="3"/>
  <c r="B174" i="4"/>
  <c r="B171" i="3"/>
  <c r="B173" i="4"/>
  <c r="B170" i="3"/>
  <c r="B172" i="4"/>
  <c r="B169" i="3"/>
  <c r="B171" i="4"/>
  <c r="B168" i="3"/>
  <c r="B170" i="4"/>
  <c r="B167" i="3"/>
  <c r="B169" i="4"/>
  <c r="B166" i="3"/>
  <c r="B168" i="4"/>
  <c r="B165" i="3"/>
  <c r="B167" i="4"/>
  <c r="B164" i="3"/>
  <c r="B166" i="4"/>
  <c r="B163" i="3"/>
  <c r="B165" i="4"/>
  <c r="B162" i="3"/>
  <c r="B164" i="4"/>
  <c r="B161" i="3"/>
  <c r="B163" i="4"/>
  <c r="B160" i="3"/>
  <c r="B162" i="4"/>
  <c r="B159" i="3"/>
  <c r="B161" i="4"/>
  <c r="B158" i="3"/>
  <c r="B160" i="4"/>
  <c r="B157" i="3"/>
  <c r="B159" i="4"/>
  <c r="B156" i="3"/>
  <c r="B158" i="4"/>
  <c r="B155" i="3"/>
  <c r="B157" i="4"/>
  <c r="B154" i="3"/>
  <c r="B156" i="4"/>
  <c r="B153" i="3"/>
  <c r="B155" i="4"/>
  <c r="B152" i="3"/>
  <c r="B154" i="4"/>
  <c r="B151" i="3"/>
  <c r="B153" i="4"/>
  <c r="B150" i="3"/>
  <c r="B152" i="4"/>
  <c r="B149" i="3"/>
  <c r="B151" i="4"/>
  <c r="B148" i="3"/>
  <c r="B150" i="4"/>
  <c r="B147" i="3"/>
  <c r="B149" i="4"/>
  <c r="B146" i="3"/>
  <c r="B148" i="4"/>
  <c r="B145" i="3"/>
  <c r="B147" i="4"/>
  <c r="B144" i="3"/>
  <c r="B146" i="4"/>
  <c r="B143" i="3"/>
  <c r="B145" i="4"/>
  <c r="B142" i="3"/>
  <c r="B144" i="4"/>
  <c r="B141" i="3"/>
  <c r="B143" i="4"/>
  <c r="B140" i="3"/>
  <c r="B142" i="4"/>
  <c r="B139" i="3"/>
  <c r="B141" i="4"/>
  <c r="B138" i="3"/>
  <c r="B140" i="4"/>
  <c r="B137" i="3"/>
  <c r="B139" i="4"/>
  <c r="B136" i="3"/>
  <c r="B138" i="4"/>
  <c r="B135" i="3"/>
  <c r="B137" i="4"/>
  <c r="B134" i="3"/>
  <c r="B136" i="4"/>
  <c r="B133" i="3"/>
  <c r="B135" i="4"/>
  <c r="B132" i="3"/>
  <c r="B134" i="4"/>
  <c r="B131" i="3"/>
  <c r="B133" i="4"/>
  <c r="B130" i="3"/>
  <c r="B132" i="4"/>
  <c r="B129" i="3"/>
  <c r="B131" i="4"/>
  <c r="B128" i="3"/>
  <c r="B130" i="4"/>
  <c r="B127" i="3"/>
  <c r="B129" i="4"/>
  <c r="B126" i="3"/>
  <c r="B128" i="4"/>
  <c r="B125" i="3"/>
  <c r="B127" i="4"/>
  <c r="B124" i="3"/>
  <c r="B126" i="4"/>
  <c r="B123" i="3"/>
  <c r="B125" i="4"/>
  <c r="B122" i="3"/>
  <c r="B124" i="4"/>
  <c r="B121" i="3"/>
  <c r="B123" i="4"/>
  <c r="B120" i="3"/>
  <c r="B122" i="4"/>
  <c r="B119" i="3"/>
  <c r="B121" i="4"/>
  <c r="B118" i="3"/>
  <c r="B120" i="4"/>
  <c r="B117" i="3"/>
  <c r="B119" i="4"/>
  <c r="B116" i="3"/>
  <c r="B118" i="4"/>
  <c r="B115" i="3"/>
  <c r="B117" i="4"/>
  <c r="B114" i="3"/>
  <c r="B116" i="4"/>
  <c r="B113" i="3"/>
  <c r="B115" i="4"/>
  <c r="B112" i="3"/>
  <c r="B114" i="4"/>
  <c r="B111" i="3"/>
  <c r="B113" i="4"/>
  <c r="B110" i="3"/>
  <c r="B112" i="4"/>
  <c r="B109" i="3"/>
  <c r="B111" i="4"/>
  <c r="B108" i="3"/>
  <c r="B110" i="4"/>
  <c r="B107" i="3"/>
  <c r="B109" i="4"/>
  <c r="B106" i="3"/>
  <c r="B108" i="4"/>
  <c r="B105" i="3"/>
  <c r="B107" i="4"/>
  <c r="B104" i="3"/>
  <c r="B106" i="4"/>
  <c r="B103" i="3"/>
  <c r="B105" i="4"/>
  <c r="B102" i="3"/>
  <c r="B104" i="4"/>
  <c r="B101" i="3"/>
  <c r="B103" i="4"/>
  <c r="B100" i="3"/>
  <c r="B102" i="4"/>
  <c r="B99" i="3"/>
  <c r="B101" i="4"/>
  <c r="B98" i="3"/>
  <c r="B100" i="4"/>
  <c r="B97" i="3"/>
  <c r="B99" i="4"/>
  <c r="B96" i="3"/>
  <c r="B98" i="4"/>
  <c r="B95" i="3"/>
  <c r="B97" i="4"/>
  <c r="B94" i="3"/>
  <c r="B96" i="4"/>
  <c r="B93" i="3"/>
  <c r="B95" i="4"/>
  <c r="B92" i="3"/>
  <c r="B94" i="4"/>
  <c r="B91" i="3"/>
  <c r="B93" i="4"/>
  <c r="B90" i="3"/>
  <c r="B92" i="4"/>
  <c r="B89" i="3"/>
  <c r="B91" i="4"/>
  <c r="B88" i="3"/>
  <c r="B90" i="4"/>
  <c r="B87" i="3"/>
  <c r="B89" i="4"/>
  <c r="B86" i="3"/>
  <c r="B88" i="4"/>
  <c r="B85" i="3"/>
  <c r="B87" i="4"/>
  <c r="B84" i="3"/>
  <c r="B86" i="4"/>
  <c r="B83" i="3"/>
  <c r="B85" i="4"/>
  <c r="B82" i="3"/>
  <c r="B84" i="4"/>
  <c r="B81" i="3"/>
  <c r="B83" i="4"/>
  <c r="B80" i="3"/>
  <c r="B82" i="4"/>
  <c r="B79" i="3"/>
  <c r="B81" i="4"/>
  <c r="B78" i="3"/>
  <c r="B80" i="4"/>
  <c r="B77" i="3"/>
  <c r="B79" i="4"/>
  <c r="B76" i="3"/>
  <c r="B78" i="4"/>
  <c r="B75" i="3"/>
  <c r="B77" i="4"/>
  <c r="B74" i="3"/>
  <c r="B76" i="4"/>
  <c r="B73" i="3"/>
  <c r="B75" i="4"/>
  <c r="B72" i="3"/>
  <c r="B74" i="4"/>
  <c r="B71" i="3"/>
  <c r="B73" i="4"/>
  <c r="B70" i="3"/>
  <c r="B72" i="4"/>
  <c r="B69" i="3"/>
  <c r="B71" i="4"/>
  <c r="B68" i="3"/>
  <c r="B70" i="4"/>
  <c r="B67" i="3"/>
  <c r="B69" i="4"/>
  <c r="B66" i="3"/>
  <c r="B68" i="4"/>
  <c r="B65" i="3"/>
  <c r="B67" i="4"/>
  <c r="B64" i="3"/>
  <c r="B66" i="4"/>
  <c r="B63" i="3"/>
  <c r="B65" i="4"/>
  <c r="B62" i="3"/>
  <c r="B64" i="4"/>
  <c r="B61" i="3"/>
  <c r="B63" i="4"/>
  <c r="B60" i="3"/>
  <c r="B62" i="4"/>
  <c r="B59" i="3"/>
  <c r="B61" i="4"/>
  <c r="B58" i="3"/>
  <c r="B60" i="4"/>
  <c r="B57" i="3"/>
  <c r="B59" i="4"/>
  <c r="B56" i="3"/>
  <c r="B58" i="4"/>
  <c r="B55" i="3"/>
  <c r="B57" i="4"/>
  <c r="B54" i="3"/>
  <c r="B56" i="4"/>
  <c r="B53" i="3"/>
  <c r="B55" i="4"/>
  <c r="B52" i="3"/>
  <c r="B54" i="4"/>
  <c r="B51" i="3"/>
  <c r="B53" i="4"/>
  <c r="B50" i="3"/>
  <c r="B52" i="4"/>
  <c r="B49" i="3"/>
  <c r="B51" i="4"/>
  <c r="B48" i="3"/>
  <c r="B50" i="4"/>
  <c r="B47" i="3"/>
  <c r="B49" i="4"/>
  <c r="B46" i="3"/>
  <c r="B48" i="4"/>
  <c r="B45" i="3"/>
  <c r="B47" i="4"/>
  <c r="B44" i="3"/>
  <c r="B46" i="4"/>
  <c r="B43" i="3"/>
  <c r="B45" i="4"/>
  <c r="B42" i="3"/>
  <c r="B44" i="4"/>
  <c r="B41" i="3"/>
  <c r="B43" i="4"/>
  <c r="B40" i="3"/>
  <c r="B42" i="4"/>
  <c r="B39" i="3"/>
  <c r="B41" i="4"/>
  <c r="B38" i="3"/>
  <c r="B40" i="4"/>
  <c r="B37" i="3"/>
  <c r="B39" i="4"/>
  <c r="B36" i="3"/>
  <c r="B38" i="4"/>
  <c r="B35" i="3"/>
  <c r="B37" i="4"/>
  <c r="B34" i="3"/>
  <c r="B36" i="4"/>
  <c r="B33" i="3"/>
  <c r="B35" i="4"/>
  <c r="B32" i="3"/>
  <c r="B34" i="4"/>
  <c r="B31" i="3"/>
  <c r="B33" i="4"/>
  <c r="B30" i="3"/>
  <c r="B32" i="4"/>
  <c r="B29" i="3"/>
  <c r="B31" i="4"/>
  <c r="B28" i="3"/>
  <c r="B30" i="4"/>
  <c r="B27" i="3"/>
  <c r="B29" i="4"/>
  <c r="B26" i="3"/>
  <c r="B28" i="4"/>
  <c r="B25" i="3"/>
  <c r="B27" i="4"/>
  <c r="B24" i="3"/>
  <c r="B26" i="4"/>
  <c r="B23" i="3"/>
  <c r="B25" i="4"/>
  <c r="B22" i="3"/>
  <c r="B24" i="4"/>
  <c r="B21" i="3"/>
  <c r="B23" i="4"/>
  <c r="B20" i="3"/>
  <c r="B22" i="4"/>
  <c r="B19" i="3"/>
  <c r="B21" i="4"/>
  <c r="B18" i="3"/>
  <c r="B20" i="4"/>
  <c r="B17" i="3"/>
  <c r="B19" i="4"/>
  <c r="B16" i="3"/>
  <c r="B18" i="4"/>
  <c r="B15" i="3"/>
  <c r="B17" i="4"/>
  <c r="B14" i="3"/>
  <c r="B16" i="4"/>
  <c r="B13" i="3"/>
  <c r="B15" i="4"/>
  <c r="B12" i="3"/>
  <c r="B14" i="4"/>
  <c r="B11" i="3"/>
  <c r="B13" i="4"/>
  <c r="B10" i="3"/>
  <c r="B12" i="4"/>
  <c r="B9" i="3"/>
  <c r="B11" i="4"/>
  <c r="B8" i="3"/>
  <c r="B10" i="4"/>
  <c r="B7" i="3"/>
  <c r="B9" i="4"/>
  <c r="B6" i="3"/>
  <c r="B8" i="4"/>
  <c r="B5" i="3"/>
  <c r="B7" i="4"/>
  <c r="B4" i="3"/>
  <c r="B6" i="4"/>
  <c r="B3" i="3"/>
  <c r="B5" i="4"/>
  <c r="B2" i="3"/>
  <c r="B4" i="4"/>
  <c r="A206" i="4"/>
  <c r="A205" i="4"/>
  <c r="A204" i="4"/>
  <c r="A203" i="4"/>
  <c r="A202" i="4"/>
  <c r="A201" i="4"/>
  <c r="C200" i="4"/>
  <c r="A200" i="4"/>
  <c r="C199" i="4"/>
  <c r="A199" i="4"/>
  <c r="C198" i="4"/>
  <c r="A198" i="4"/>
  <c r="C197" i="4"/>
  <c r="A197" i="4"/>
  <c r="C196" i="4"/>
  <c r="A196" i="4"/>
  <c r="C195" i="4"/>
  <c r="A195" i="4"/>
  <c r="C194" i="4"/>
  <c r="A194" i="4"/>
  <c r="C193" i="4"/>
  <c r="A193" i="4"/>
  <c r="C192" i="4"/>
  <c r="A192" i="4"/>
  <c r="C191" i="4"/>
  <c r="A191" i="4"/>
  <c r="C190" i="4"/>
  <c r="A190" i="4"/>
  <c r="C189" i="4"/>
  <c r="A189" i="4"/>
  <c r="C188" i="4"/>
  <c r="A188" i="4"/>
  <c r="C187" i="4"/>
  <c r="A187" i="4"/>
  <c r="C186" i="4"/>
  <c r="A186" i="4"/>
  <c r="C185" i="4"/>
  <c r="A185" i="4"/>
  <c r="C184" i="4"/>
  <c r="A184" i="4"/>
  <c r="C183" i="4"/>
  <c r="A183" i="4"/>
  <c r="C182" i="4"/>
  <c r="A182" i="4"/>
  <c r="C181" i="4"/>
  <c r="A181" i="4"/>
  <c r="C180" i="4"/>
  <c r="A180" i="4"/>
  <c r="C179" i="4"/>
  <c r="A179" i="4"/>
  <c r="C178" i="4"/>
  <c r="A178" i="4"/>
  <c r="C177" i="4"/>
  <c r="A177" i="4"/>
  <c r="C176" i="4"/>
  <c r="A176" i="4"/>
  <c r="C175" i="4"/>
  <c r="A175" i="4"/>
  <c r="C174" i="4"/>
  <c r="A174" i="4"/>
  <c r="C173" i="4"/>
  <c r="A173" i="4"/>
  <c r="C172" i="4"/>
  <c r="A172" i="4"/>
  <c r="C171" i="4"/>
  <c r="A171" i="4"/>
  <c r="C170" i="4"/>
  <c r="A170" i="4"/>
  <c r="C169" i="4"/>
  <c r="A169" i="4"/>
  <c r="C168" i="4"/>
  <c r="A168" i="4"/>
  <c r="C167" i="4"/>
  <c r="A167" i="4"/>
  <c r="C166" i="4"/>
  <c r="A166" i="4"/>
  <c r="C165" i="4"/>
  <c r="A165" i="4"/>
  <c r="C164" i="4"/>
  <c r="A164" i="4"/>
  <c r="C163" i="4"/>
  <c r="A163" i="4"/>
  <c r="C162" i="4"/>
  <c r="A162" i="4"/>
  <c r="C161" i="4"/>
  <c r="A161" i="4"/>
  <c r="C160" i="4"/>
  <c r="A160" i="4"/>
  <c r="C159" i="4"/>
  <c r="A159" i="4"/>
  <c r="C158" i="4"/>
  <c r="A158" i="4"/>
  <c r="C157" i="4"/>
  <c r="A157" i="4"/>
  <c r="C156" i="4"/>
  <c r="A156" i="4"/>
  <c r="C155" i="4"/>
  <c r="A155" i="4"/>
  <c r="C154" i="4"/>
  <c r="A154" i="4"/>
  <c r="C153" i="4"/>
  <c r="A153" i="4"/>
  <c r="C152" i="4"/>
  <c r="A152" i="4"/>
  <c r="C151" i="4"/>
  <c r="A151" i="4"/>
  <c r="C150" i="4"/>
  <c r="A150" i="4"/>
  <c r="C149" i="4"/>
  <c r="A149" i="4"/>
  <c r="C148" i="4"/>
  <c r="A148" i="4"/>
  <c r="C147" i="4"/>
  <c r="A147" i="4"/>
  <c r="C146" i="4"/>
  <c r="A146" i="4"/>
  <c r="C145" i="4"/>
  <c r="A145" i="4"/>
  <c r="C144" i="4"/>
  <c r="A144" i="4"/>
  <c r="C143" i="4"/>
  <c r="A143" i="4"/>
  <c r="C142" i="4"/>
  <c r="A142" i="4"/>
  <c r="C141" i="4"/>
  <c r="A141" i="4"/>
  <c r="C140" i="4"/>
  <c r="A140" i="4"/>
  <c r="C139" i="4"/>
  <c r="A139" i="4"/>
  <c r="C138" i="4"/>
  <c r="A138" i="4"/>
  <c r="C137" i="4"/>
  <c r="A137" i="4"/>
  <c r="C136" i="4"/>
  <c r="A136" i="4"/>
  <c r="C135" i="4"/>
  <c r="A135" i="4"/>
  <c r="C134" i="4"/>
  <c r="A134" i="4"/>
  <c r="C133" i="4"/>
  <c r="A133" i="4"/>
  <c r="C132" i="4"/>
  <c r="A132" i="4"/>
  <c r="C131" i="4"/>
  <c r="A131" i="4"/>
  <c r="C130" i="4"/>
  <c r="A130" i="4"/>
  <c r="C129" i="4"/>
  <c r="A129" i="4"/>
  <c r="C128" i="4"/>
  <c r="A128" i="4"/>
  <c r="C127" i="4"/>
  <c r="A127" i="4"/>
  <c r="C126" i="4"/>
  <c r="A126" i="4"/>
  <c r="C125" i="4"/>
  <c r="A125" i="4"/>
  <c r="C124" i="4"/>
  <c r="A124" i="4"/>
  <c r="C123" i="4"/>
  <c r="A123" i="4"/>
  <c r="C122" i="4"/>
  <c r="A122" i="4"/>
  <c r="C121" i="4"/>
  <c r="A121" i="4"/>
  <c r="C120" i="4"/>
  <c r="A120" i="4"/>
  <c r="C119" i="4"/>
  <c r="A119" i="4"/>
  <c r="C118" i="4"/>
  <c r="A118" i="4"/>
  <c r="C117" i="4"/>
  <c r="A117" i="4"/>
  <c r="C116" i="4"/>
  <c r="A116" i="4"/>
  <c r="C115" i="4"/>
  <c r="A115" i="4"/>
  <c r="C114" i="4"/>
  <c r="A114" i="4"/>
  <c r="C113" i="4"/>
  <c r="A113" i="4"/>
  <c r="C112" i="4"/>
  <c r="A112" i="4"/>
  <c r="C111" i="4"/>
  <c r="A111" i="4"/>
  <c r="C110" i="4"/>
  <c r="A110" i="4"/>
  <c r="C109" i="4"/>
  <c r="A109" i="4"/>
  <c r="C108" i="4"/>
  <c r="A108" i="4"/>
  <c r="C107" i="4"/>
  <c r="A107" i="4"/>
  <c r="C106" i="4"/>
  <c r="A106" i="4"/>
  <c r="C105" i="4"/>
  <c r="A105" i="4"/>
  <c r="C104" i="4"/>
  <c r="A104" i="4"/>
  <c r="C103" i="4"/>
  <c r="A103" i="4"/>
  <c r="C102" i="4"/>
  <c r="A102" i="4"/>
  <c r="C101" i="4"/>
  <c r="A101" i="4"/>
  <c r="C100" i="4"/>
  <c r="A100" i="4"/>
  <c r="C99" i="4"/>
  <c r="A99" i="4"/>
  <c r="C98" i="4"/>
  <c r="A98" i="4"/>
  <c r="C97" i="4"/>
  <c r="A97" i="4"/>
  <c r="C96" i="4"/>
  <c r="A96" i="4"/>
  <c r="C95" i="4"/>
  <c r="A95" i="4"/>
  <c r="C94" i="4"/>
  <c r="A94" i="4"/>
  <c r="C93" i="4"/>
  <c r="A93" i="4"/>
  <c r="C92" i="4"/>
  <c r="A92" i="4"/>
  <c r="C91" i="4"/>
  <c r="A91" i="4"/>
  <c r="C90" i="4"/>
  <c r="A90" i="4"/>
  <c r="C89" i="4"/>
  <c r="A89" i="4"/>
  <c r="C88" i="4"/>
  <c r="A88" i="4"/>
  <c r="C87" i="4"/>
  <c r="A87" i="4"/>
  <c r="C86" i="4"/>
  <c r="A86" i="4"/>
  <c r="C85" i="4"/>
  <c r="A85" i="4"/>
  <c r="C84" i="4"/>
  <c r="A84" i="4"/>
  <c r="C83" i="4"/>
  <c r="A83" i="4"/>
  <c r="C82" i="4"/>
  <c r="A82" i="4"/>
  <c r="C81" i="4"/>
  <c r="A81" i="4"/>
  <c r="C80" i="4"/>
  <c r="A80" i="4"/>
  <c r="C79" i="4"/>
  <c r="A79" i="4"/>
  <c r="C78" i="4"/>
  <c r="A78" i="4"/>
  <c r="C77" i="4"/>
  <c r="A77" i="4"/>
  <c r="C76" i="4"/>
  <c r="A76" i="4"/>
  <c r="C75" i="4"/>
  <c r="A75" i="4"/>
  <c r="C74" i="4"/>
  <c r="A74" i="4"/>
  <c r="C73" i="4"/>
  <c r="A73" i="4"/>
  <c r="C72" i="4"/>
  <c r="A72" i="4"/>
  <c r="C71" i="4"/>
  <c r="A71" i="4"/>
  <c r="C70" i="4"/>
  <c r="A70" i="4"/>
  <c r="C69" i="4"/>
  <c r="A69" i="4"/>
  <c r="C68" i="4"/>
  <c r="A68" i="4"/>
  <c r="C67" i="4"/>
  <c r="A67" i="4"/>
  <c r="C66" i="4"/>
  <c r="A66" i="4"/>
  <c r="C65" i="4"/>
  <c r="A65" i="4"/>
  <c r="C64" i="4"/>
  <c r="A64" i="4"/>
  <c r="C63" i="4"/>
  <c r="A63" i="4"/>
  <c r="C62" i="4"/>
  <c r="A62" i="4"/>
  <c r="C61" i="4"/>
  <c r="A61" i="4"/>
  <c r="C60" i="4"/>
  <c r="A60" i="4"/>
  <c r="C59" i="4"/>
  <c r="A59" i="4"/>
  <c r="C58" i="4"/>
  <c r="A58" i="4"/>
  <c r="C57" i="4"/>
  <c r="A57" i="4"/>
  <c r="C56" i="4"/>
  <c r="A56" i="4"/>
  <c r="C55" i="4"/>
  <c r="A55" i="4"/>
  <c r="C54" i="4"/>
  <c r="A54" i="4"/>
  <c r="C53" i="4"/>
  <c r="A53" i="4"/>
  <c r="C52" i="4"/>
  <c r="A52" i="4"/>
  <c r="C51" i="4"/>
  <c r="A51" i="4"/>
  <c r="C50" i="4"/>
  <c r="A50" i="4"/>
  <c r="C49" i="4"/>
  <c r="A49" i="4"/>
  <c r="C48" i="4"/>
  <c r="A48" i="4"/>
  <c r="C47" i="4"/>
  <c r="A47" i="4"/>
  <c r="C46" i="4"/>
  <c r="A46" i="4"/>
  <c r="C45" i="4"/>
  <c r="A45" i="4"/>
  <c r="C44" i="4"/>
  <c r="A44" i="4"/>
  <c r="C43" i="4"/>
  <c r="A43" i="4"/>
  <c r="C42" i="4"/>
  <c r="A42" i="4"/>
  <c r="C41" i="4"/>
  <c r="A41" i="4"/>
  <c r="C40" i="4"/>
  <c r="A40" i="4"/>
  <c r="C39" i="4"/>
  <c r="A39" i="4"/>
  <c r="C38" i="4"/>
  <c r="A38" i="4"/>
  <c r="C37" i="4"/>
  <c r="A37" i="4"/>
  <c r="C36" i="4"/>
  <c r="A36" i="4"/>
  <c r="C35" i="4"/>
  <c r="A35" i="4"/>
  <c r="C34" i="4"/>
  <c r="A34" i="4"/>
  <c r="C33" i="4"/>
  <c r="A33" i="4"/>
  <c r="C32" i="4"/>
  <c r="A32" i="4"/>
  <c r="C31" i="4"/>
  <c r="A31" i="4"/>
  <c r="C30" i="4"/>
  <c r="A30" i="4"/>
  <c r="C29" i="4"/>
  <c r="A29" i="4"/>
  <c r="C28" i="4"/>
  <c r="A28" i="4"/>
  <c r="C27" i="4"/>
  <c r="A27" i="4"/>
  <c r="C26" i="4"/>
  <c r="A26" i="4"/>
  <c r="C25" i="4"/>
  <c r="A25" i="4"/>
  <c r="C24" i="4"/>
  <c r="A24" i="4"/>
  <c r="C23" i="4"/>
  <c r="A23" i="4"/>
  <c r="C22" i="4"/>
  <c r="A22" i="4"/>
  <c r="C21" i="4"/>
  <c r="A21" i="4"/>
  <c r="C20" i="4"/>
  <c r="A20" i="4"/>
  <c r="C19" i="4"/>
  <c r="A19" i="4"/>
  <c r="C18" i="4"/>
  <c r="A18" i="4"/>
  <c r="C17" i="4"/>
  <c r="A17" i="4"/>
  <c r="C16" i="4"/>
  <c r="A16" i="4"/>
  <c r="C15" i="4"/>
  <c r="A15" i="4"/>
  <c r="C14" i="4"/>
  <c r="A14" i="4"/>
  <c r="C13" i="4"/>
  <c r="A13" i="4"/>
  <c r="C12" i="4"/>
  <c r="A12" i="4"/>
  <c r="C11" i="4"/>
  <c r="A11" i="4"/>
  <c r="C10" i="4"/>
  <c r="A10" i="4"/>
  <c r="C9" i="4"/>
  <c r="A9" i="4"/>
  <c r="C8" i="4"/>
  <c r="A8" i="4"/>
  <c r="C7" i="4"/>
  <c r="A7" i="4"/>
  <c r="C6" i="4"/>
  <c r="A6" i="4"/>
  <c r="C5" i="4"/>
  <c r="A5" i="4"/>
  <c r="C4" i="4"/>
  <c r="A4" i="4"/>
  <c r="C3" i="4"/>
  <c r="A3" i="4"/>
  <c r="A2" i="4"/>
  <c r="A1" i="4"/>
  <c r="D200" i="1"/>
  <c r="E200" i="1"/>
  <c r="C199" i="3"/>
  <c r="I199" i="1"/>
  <c r="C198" i="3"/>
  <c r="I198" i="1"/>
  <c r="G199" i="1"/>
  <c r="L199" i="1"/>
  <c r="H199" i="1"/>
  <c r="D199" i="1"/>
  <c r="E199" i="1"/>
  <c r="G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G197" i="1"/>
  <c r="G196" i="1"/>
  <c r="G195" i="1"/>
  <c r="G194" i="1"/>
  <c r="M193" i="1"/>
  <c r="G193" i="1"/>
  <c r="G192" i="1"/>
  <c r="G191" i="1"/>
  <c r="G190" i="1"/>
  <c r="G189" i="1"/>
  <c r="G188" i="1"/>
  <c r="G187" i="1"/>
  <c r="G186" i="1"/>
  <c r="M186" i="1"/>
  <c r="G185" i="1"/>
  <c r="G184" i="1"/>
  <c r="M183" i="1"/>
  <c r="G183" i="1"/>
  <c r="G182" i="1"/>
  <c r="M181" i="1"/>
  <c r="G181" i="1"/>
  <c r="M180" i="1"/>
  <c r="G180" i="1"/>
  <c r="G179" i="1"/>
  <c r="G178" i="1"/>
  <c r="G177" i="1"/>
  <c r="G176" i="1"/>
  <c r="G175" i="1"/>
  <c r="M174" i="1"/>
  <c r="G174" i="1"/>
  <c r="M173" i="1"/>
  <c r="G173" i="1"/>
  <c r="G172" i="1"/>
  <c r="M172" i="1"/>
  <c r="G171" i="1"/>
  <c r="G170" i="1"/>
  <c r="G169" i="1"/>
  <c r="M168" i="1"/>
  <c r="G168" i="1"/>
  <c r="G167" i="1"/>
  <c r="G166" i="1"/>
  <c r="M165" i="1"/>
  <c r="G165" i="1"/>
  <c r="M164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G152" i="1"/>
  <c r="D152" i="1"/>
  <c r="E152" i="1"/>
  <c r="G151" i="1"/>
  <c r="D151" i="1"/>
  <c r="E151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G150" i="1"/>
  <c r="H150" i="1"/>
  <c r="D150" i="1"/>
  <c r="E150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G149" i="1"/>
  <c r="L149" i="1"/>
  <c r="H149" i="1"/>
  <c r="C148" i="3"/>
  <c r="C147" i="3"/>
  <c r="C146" i="3"/>
  <c r="C145" i="3"/>
  <c r="C144" i="3"/>
  <c r="C143" i="3"/>
  <c r="C142" i="3"/>
  <c r="C141" i="3"/>
  <c r="C140" i="3"/>
  <c r="D149" i="1"/>
  <c r="E149" i="1"/>
  <c r="M148" i="1"/>
  <c r="G148" i="1"/>
  <c r="L148" i="1"/>
  <c r="M147" i="1"/>
  <c r="G147" i="1"/>
  <c r="L147" i="1"/>
  <c r="G146" i="1"/>
  <c r="L146" i="1"/>
  <c r="G145" i="1"/>
  <c r="L145" i="1"/>
  <c r="G144" i="1"/>
  <c r="L144" i="1"/>
  <c r="G143" i="1"/>
  <c r="L143" i="1"/>
  <c r="G142" i="1"/>
  <c r="L142" i="1"/>
  <c r="G141" i="1"/>
  <c r="L141" i="1"/>
  <c r="G140" i="1"/>
  <c r="L140" i="1"/>
  <c r="H148" i="1"/>
  <c r="H147" i="1"/>
  <c r="H146" i="1"/>
  <c r="H145" i="1"/>
  <c r="H144" i="1"/>
  <c r="H143" i="1"/>
  <c r="H142" i="1"/>
  <c r="H141" i="1"/>
  <c r="H140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A148" i="3"/>
  <c r="A149" i="3"/>
  <c r="A150" i="3"/>
  <c r="A151" i="3"/>
  <c r="A152" i="3"/>
  <c r="A141" i="3"/>
  <c r="A142" i="3"/>
  <c r="A143" i="3"/>
  <c r="A144" i="3"/>
  <c r="A145" i="3"/>
  <c r="A146" i="3"/>
  <c r="A147" i="3"/>
  <c r="A133" i="3"/>
  <c r="C133" i="3"/>
  <c r="A134" i="3"/>
  <c r="C134" i="3"/>
  <c r="A135" i="3"/>
  <c r="C135" i="3"/>
  <c r="A136" i="3"/>
  <c r="C136" i="3"/>
  <c r="A137" i="3"/>
  <c r="C137" i="3"/>
  <c r="A138" i="3"/>
  <c r="C138" i="3"/>
  <c r="A139" i="3"/>
  <c r="C139" i="3"/>
  <c r="A140" i="3"/>
  <c r="G139" i="1"/>
  <c r="G138" i="1"/>
  <c r="G137" i="1"/>
  <c r="G136" i="1"/>
  <c r="G135" i="1"/>
  <c r="E140" i="1"/>
  <c r="E139" i="1"/>
  <c r="E138" i="1"/>
  <c r="E137" i="1"/>
  <c r="E136" i="1"/>
  <c r="E135" i="1"/>
  <c r="D140" i="1"/>
  <c r="D139" i="1"/>
  <c r="D138" i="1"/>
  <c r="D137" i="1"/>
  <c r="D136" i="1"/>
  <c r="D135" i="1"/>
  <c r="D134" i="1"/>
  <c r="G134" i="1"/>
  <c r="E134" i="1"/>
  <c r="L139" i="1"/>
  <c r="L138" i="1"/>
  <c r="L137" i="1"/>
  <c r="L136" i="1"/>
  <c r="L135" i="1"/>
  <c r="L134" i="1"/>
  <c r="G133" i="1"/>
  <c r="L133" i="1"/>
  <c r="H139" i="1"/>
  <c r="H138" i="1"/>
  <c r="H137" i="1"/>
  <c r="H136" i="1"/>
  <c r="H135" i="1"/>
  <c r="H134" i="1"/>
  <c r="H133" i="1"/>
  <c r="C127" i="3"/>
  <c r="C128" i="3"/>
  <c r="C129" i="3"/>
  <c r="C130" i="3"/>
  <c r="C131" i="3"/>
  <c r="C132" i="3"/>
  <c r="A132" i="3"/>
  <c r="M132" i="1"/>
  <c r="G132" i="1"/>
  <c r="G131" i="1"/>
  <c r="G130" i="1"/>
  <c r="G129" i="1"/>
  <c r="G128" i="1"/>
  <c r="E133" i="1"/>
  <c r="E132" i="1"/>
  <c r="E131" i="1"/>
  <c r="E130" i="1"/>
  <c r="E129" i="1"/>
  <c r="E128" i="1"/>
  <c r="D133" i="1"/>
  <c r="D132" i="1"/>
  <c r="D131" i="1"/>
  <c r="D130" i="1"/>
  <c r="D129" i="1"/>
  <c r="D128" i="1"/>
  <c r="L132" i="1"/>
  <c r="L131" i="1"/>
  <c r="L130" i="1"/>
  <c r="L129" i="1"/>
  <c r="L128" i="1"/>
  <c r="L127" i="1"/>
  <c r="H132" i="1"/>
  <c r="H131" i="1"/>
  <c r="H130" i="1"/>
  <c r="H129" i="1"/>
  <c r="H128" i="1"/>
  <c r="H127" i="1"/>
  <c r="C126" i="3"/>
  <c r="C123" i="3"/>
  <c r="C124" i="3"/>
  <c r="C125" i="3"/>
  <c r="C120" i="3"/>
  <c r="C121" i="3"/>
  <c r="C122" i="3"/>
  <c r="C119" i="3"/>
  <c r="A121" i="3"/>
  <c r="A122" i="3"/>
  <c r="A123" i="3"/>
  <c r="A124" i="3"/>
  <c r="A125" i="3"/>
  <c r="A126" i="3"/>
  <c r="A127" i="3"/>
  <c r="A128" i="3"/>
  <c r="A129" i="3"/>
  <c r="A130" i="3"/>
  <c r="A131" i="3"/>
  <c r="M126" i="1"/>
  <c r="G126" i="1"/>
  <c r="L126" i="1"/>
  <c r="D127" i="1"/>
  <c r="E127" i="1"/>
  <c r="G125" i="1"/>
  <c r="L125" i="1"/>
  <c r="D126" i="1"/>
  <c r="E126" i="1"/>
  <c r="D125" i="1"/>
  <c r="E125" i="1"/>
  <c r="G124" i="1"/>
  <c r="M124" i="1"/>
  <c r="L124" i="1"/>
  <c r="D124" i="1"/>
  <c r="E124" i="1"/>
  <c r="G123" i="1"/>
  <c r="L123" i="1"/>
  <c r="D123" i="1"/>
  <c r="E123" i="1"/>
  <c r="G122" i="1"/>
  <c r="L122" i="1"/>
  <c r="D122" i="1"/>
  <c r="E122" i="1"/>
  <c r="G121" i="1"/>
  <c r="L121" i="1"/>
  <c r="D121" i="1"/>
  <c r="E121" i="1"/>
  <c r="G120" i="1"/>
  <c r="L120" i="1"/>
  <c r="D120" i="1"/>
  <c r="E120" i="1"/>
  <c r="G119" i="1"/>
  <c r="L119" i="1"/>
  <c r="H126" i="1"/>
  <c r="H125" i="1"/>
  <c r="H124" i="1"/>
  <c r="H123" i="1"/>
  <c r="H122" i="1"/>
  <c r="H121" i="1"/>
  <c r="H120" i="1"/>
  <c r="H119" i="1"/>
  <c r="C118" i="3"/>
  <c r="G118" i="1"/>
  <c r="L118" i="1"/>
  <c r="H118" i="1"/>
  <c r="D119" i="1"/>
  <c r="E119" i="1"/>
  <c r="C116" i="3"/>
  <c r="C117" i="3"/>
  <c r="D118" i="1"/>
  <c r="E118" i="1"/>
  <c r="G117" i="1"/>
  <c r="L117" i="1"/>
  <c r="D117" i="1"/>
  <c r="E117" i="1"/>
  <c r="G116" i="1"/>
  <c r="L116" i="1"/>
  <c r="H117" i="1"/>
  <c r="H116" i="1"/>
  <c r="C113" i="3"/>
  <c r="C114" i="3"/>
  <c r="C115" i="3"/>
  <c r="G115" i="1"/>
  <c r="L115" i="1"/>
  <c r="G114" i="1"/>
  <c r="L114" i="1"/>
  <c r="E116" i="1"/>
  <c r="E115" i="1"/>
  <c r="E114" i="1"/>
  <c r="D116" i="1"/>
  <c r="D115" i="1"/>
  <c r="D114" i="1"/>
  <c r="D113" i="1"/>
  <c r="G113" i="1"/>
  <c r="L113" i="1"/>
  <c r="H115" i="1"/>
  <c r="H114" i="1"/>
  <c r="H113" i="1"/>
  <c r="A118" i="3"/>
  <c r="A119" i="3"/>
  <c r="A120" i="3"/>
  <c r="A114" i="3"/>
  <c r="A115" i="3"/>
  <c r="A116" i="3"/>
  <c r="A117" i="3"/>
  <c r="E113" i="1"/>
  <c r="C112" i="3"/>
  <c r="G112" i="1"/>
  <c r="L112" i="1"/>
  <c r="H112" i="1"/>
  <c r="C111" i="3"/>
  <c r="C110" i="3"/>
  <c r="C109" i="3"/>
  <c r="A111" i="3"/>
  <c r="A112" i="3"/>
  <c r="A113" i="3"/>
  <c r="E112" i="1"/>
  <c r="G111" i="1"/>
  <c r="L111" i="1"/>
  <c r="E111" i="1"/>
  <c r="G110" i="1"/>
  <c r="L110" i="1"/>
  <c r="D112" i="1"/>
  <c r="D111" i="1"/>
  <c r="D110" i="1"/>
  <c r="G109" i="1"/>
  <c r="L109" i="1"/>
  <c r="H111" i="1"/>
  <c r="H110" i="1"/>
  <c r="H109" i="1"/>
  <c r="E110" i="1"/>
  <c r="C108" i="3"/>
  <c r="C107" i="3"/>
  <c r="C106" i="3"/>
  <c r="A107" i="3"/>
  <c r="A108" i="3"/>
  <c r="A109" i="3"/>
  <c r="A110" i="3"/>
  <c r="G108" i="1"/>
  <c r="L108" i="1"/>
  <c r="G107" i="1"/>
  <c r="L107" i="1"/>
  <c r="G106" i="1"/>
  <c r="L106" i="1"/>
  <c r="H108" i="1"/>
  <c r="H107" i="1"/>
  <c r="H106" i="1"/>
  <c r="D109" i="1"/>
  <c r="E109" i="1"/>
  <c r="D108" i="1"/>
  <c r="E108" i="1"/>
  <c r="D107" i="1"/>
  <c r="E107" i="1"/>
  <c r="C105" i="3"/>
  <c r="G105" i="1"/>
  <c r="L105" i="1"/>
  <c r="H105" i="1"/>
  <c r="D106" i="1"/>
  <c r="E106" i="1"/>
  <c r="C104" i="3"/>
  <c r="A106" i="3"/>
  <c r="G104" i="1"/>
  <c r="L104" i="1"/>
  <c r="H104" i="1"/>
  <c r="D105" i="1"/>
  <c r="E105" i="1"/>
  <c r="C103" i="3"/>
  <c r="C102" i="3"/>
  <c r="C101" i="3"/>
  <c r="A103" i="3"/>
  <c r="A104" i="3"/>
  <c r="A105" i="3"/>
  <c r="D104" i="1"/>
  <c r="E104" i="1"/>
  <c r="G103" i="1"/>
  <c r="L103" i="1"/>
  <c r="D103" i="1"/>
  <c r="E103" i="1"/>
  <c r="G102" i="1"/>
  <c r="L102" i="1"/>
  <c r="H103" i="1"/>
  <c r="H102" i="1"/>
  <c r="D102" i="1"/>
  <c r="E102" i="1"/>
  <c r="G101" i="1"/>
  <c r="L101" i="1"/>
  <c r="H101" i="1"/>
  <c r="C100" i="3"/>
  <c r="C99" i="3"/>
  <c r="C98" i="3"/>
  <c r="G100" i="1"/>
  <c r="E101" i="1"/>
  <c r="E100" i="1"/>
  <c r="L100" i="1"/>
  <c r="L99" i="1"/>
  <c r="H100" i="1"/>
  <c r="H99" i="1"/>
  <c r="D101" i="1"/>
  <c r="D100" i="1"/>
  <c r="D99" i="1"/>
  <c r="E99" i="1"/>
  <c r="G98" i="1"/>
  <c r="L98" i="1"/>
  <c r="H98" i="1"/>
  <c r="C97" i="3"/>
  <c r="G97" i="1"/>
  <c r="L97" i="1"/>
  <c r="H97" i="1"/>
  <c r="D98" i="1"/>
  <c r="E98" i="1"/>
  <c r="C96" i="3"/>
  <c r="C95" i="3"/>
  <c r="A100" i="3"/>
  <c r="A101" i="3"/>
  <c r="A102" i="3"/>
  <c r="A96" i="3"/>
  <c r="A97" i="3"/>
  <c r="A98" i="3"/>
  <c r="A99" i="3"/>
  <c r="G96" i="1"/>
  <c r="L96" i="1"/>
  <c r="H96" i="1"/>
  <c r="D97" i="1"/>
  <c r="D96" i="1"/>
  <c r="E97" i="1"/>
  <c r="E96" i="1"/>
  <c r="G95" i="1"/>
  <c r="L95" i="1"/>
  <c r="H95" i="1"/>
  <c r="C94" i="3"/>
  <c r="C93" i="3"/>
  <c r="C92" i="3"/>
  <c r="C91" i="3"/>
  <c r="A92" i="3"/>
  <c r="A93" i="3"/>
  <c r="A94" i="3"/>
  <c r="A95" i="3"/>
  <c r="M94" i="1"/>
  <c r="G94" i="1"/>
  <c r="D95" i="1"/>
  <c r="E95" i="1"/>
  <c r="D94" i="1"/>
  <c r="E94" i="1"/>
  <c r="L94" i="1"/>
  <c r="L93" i="1"/>
  <c r="D93" i="1"/>
  <c r="E93" i="1"/>
  <c r="G92" i="1"/>
  <c r="L92" i="1"/>
  <c r="H94" i="1"/>
  <c r="H93" i="1"/>
  <c r="H92" i="1"/>
  <c r="G91" i="1"/>
  <c r="L91" i="1"/>
  <c r="H91" i="1"/>
  <c r="D92" i="1"/>
  <c r="E92" i="1"/>
  <c r="G90" i="1"/>
  <c r="L90" i="1"/>
  <c r="H90" i="1"/>
  <c r="D91" i="1"/>
  <c r="E91" i="1"/>
  <c r="C90" i="3"/>
  <c r="C89" i="3"/>
  <c r="C88" i="3"/>
  <c r="A89" i="3"/>
  <c r="A90" i="3"/>
  <c r="A91" i="3"/>
  <c r="D90" i="1"/>
  <c r="E90" i="1"/>
  <c r="G89" i="1"/>
  <c r="L89" i="1"/>
  <c r="H89" i="1"/>
  <c r="E89" i="1"/>
  <c r="D89" i="1"/>
  <c r="G88" i="1"/>
  <c r="L88" i="1"/>
  <c r="H88" i="1"/>
  <c r="C87" i="3"/>
  <c r="G87" i="1"/>
  <c r="L87" i="1"/>
  <c r="H87" i="1"/>
  <c r="D88" i="1"/>
  <c r="E88" i="1"/>
  <c r="C86" i="3"/>
  <c r="L86" i="1"/>
  <c r="H86" i="1"/>
  <c r="E87" i="1"/>
  <c r="D87" i="1"/>
  <c r="D86" i="1"/>
  <c r="E86" i="1"/>
  <c r="C85" i="3"/>
  <c r="K85" i="1"/>
  <c r="C84" i="3"/>
  <c r="A88" i="3"/>
  <c r="A85" i="3"/>
  <c r="A86" i="3"/>
  <c r="A87" i="3"/>
  <c r="D85" i="1"/>
  <c r="L85" i="1"/>
  <c r="G84" i="1"/>
  <c r="L84" i="1"/>
  <c r="H85" i="1"/>
  <c r="H84" i="1"/>
  <c r="E85" i="1"/>
  <c r="A84" i="3"/>
  <c r="M83" i="1"/>
  <c r="G83" i="1"/>
  <c r="L83" i="1"/>
  <c r="H83" i="1"/>
  <c r="D84" i="1"/>
  <c r="D83" i="1"/>
  <c r="E84" i="1"/>
  <c r="C83" i="3"/>
  <c r="C82" i="3"/>
  <c r="M82" i="1"/>
  <c r="G82" i="1"/>
  <c r="D82" i="1"/>
  <c r="L82" i="1"/>
  <c r="G81" i="1"/>
  <c r="L81" i="1"/>
  <c r="H82" i="1"/>
  <c r="H81" i="1"/>
  <c r="E83" i="1"/>
  <c r="E82" i="1"/>
  <c r="C81" i="3"/>
  <c r="C80" i="3"/>
  <c r="C79" i="3"/>
  <c r="G79" i="1"/>
  <c r="D81" i="1"/>
  <c r="E81" i="1"/>
  <c r="G80" i="1"/>
  <c r="L80" i="1"/>
  <c r="H80" i="1"/>
  <c r="L79" i="1"/>
  <c r="H79" i="1"/>
  <c r="E80" i="1"/>
  <c r="D80" i="1"/>
  <c r="G78" i="1"/>
  <c r="L78" i="1"/>
  <c r="H78" i="1"/>
  <c r="D79" i="1"/>
  <c r="E79" i="1"/>
  <c r="A79" i="3"/>
  <c r="A80" i="3"/>
  <c r="A81" i="3"/>
  <c r="A82" i="3"/>
  <c r="A83" i="3"/>
  <c r="C78" i="3"/>
  <c r="G77" i="1"/>
  <c r="L77" i="1"/>
  <c r="H77" i="1"/>
  <c r="D78" i="1"/>
  <c r="E78" i="1"/>
  <c r="M76" i="1"/>
  <c r="G76" i="1"/>
  <c r="L76" i="1"/>
  <c r="H76" i="1"/>
  <c r="E77" i="1"/>
  <c r="D77" i="1"/>
  <c r="D76" i="1"/>
  <c r="E76" i="1"/>
  <c r="H75" i="1"/>
  <c r="L75" i="1"/>
  <c r="M75" i="1"/>
  <c r="E75" i="1"/>
  <c r="D75" i="1"/>
  <c r="C77" i="3"/>
  <c r="C76" i="3"/>
  <c r="C75" i="3"/>
  <c r="K56" i="1"/>
  <c r="I2" i="1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M74" i="1"/>
  <c r="G74" i="1"/>
  <c r="D74" i="1"/>
  <c r="E74" i="1"/>
  <c r="G73" i="1"/>
  <c r="G72" i="1"/>
  <c r="G71" i="1"/>
  <c r="G70" i="1"/>
  <c r="L74" i="1"/>
  <c r="H74" i="1"/>
  <c r="L73" i="1"/>
  <c r="H73" i="1"/>
  <c r="L72" i="1"/>
  <c r="H72" i="1"/>
  <c r="L71" i="1"/>
  <c r="H71" i="1"/>
  <c r="D73" i="1"/>
  <c r="E73" i="1"/>
  <c r="D72" i="1"/>
  <c r="E72" i="1"/>
  <c r="M70" i="1"/>
  <c r="L70" i="1"/>
  <c r="H70" i="1"/>
  <c r="E71" i="1"/>
  <c r="D71" i="1"/>
  <c r="E70" i="1"/>
  <c r="D70" i="1"/>
  <c r="M69" i="1"/>
  <c r="G69" i="1"/>
  <c r="L69" i="1"/>
  <c r="H69" i="1"/>
  <c r="E69" i="1"/>
  <c r="D69" i="1"/>
  <c r="L68" i="1"/>
  <c r="H68" i="1"/>
  <c r="E68" i="1"/>
  <c r="D68" i="1"/>
  <c r="G67" i="1"/>
  <c r="L67" i="1"/>
  <c r="H67" i="1"/>
  <c r="L64" i="1"/>
  <c r="L66" i="1"/>
  <c r="M66" i="1"/>
  <c r="L65" i="1"/>
  <c r="G65" i="1"/>
  <c r="M65" i="1"/>
  <c r="G64" i="1"/>
  <c r="M64" i="1"/>
  <c r="H66" i="1"/>
  <c r="H65" i="1"/>
  <c r="H64" i="1"/>
  <c r="E67" i="1"/>
  <c r="D67" i="1"/>
  <c r="E66" i="1"/>
  <c r="D66" i="1"/>
  <c r="E65" i="1"/>
  <c r="D65" i="1"/>
  <c r="G63" i="1"/>
  <c r="L63" i="1"/>
  <c r="H63" i="1"/>
  <c r="D64" i="1"/>
  <c r="E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L62" i="1"/>
  <c r="G62" i="1"/>
  <c r="H62" i="1"/>
  <c r="E63" i="1"/>
  <c r="G61" i="1"/>
  <c r="L61" i="1"/>
  <c r="L60" i="1"/>
  <c r="H61" i="1"/>
  <c r="H60" i="1"/>
  <c r="E62" i="1"/>
  <c r="E61" i="1"/>
  <c r="G59" i="1"/>
  <c r="L59" i="1"/>
  <c r="H59" i="1"/>
  <c r="E60" i="1"/>
  <c r="L58" i="1"/>
  <c r="G58" i="1"/>
  <c r="M57" i="1"/>
  <c r="L57" i="1"/>
  <c r="H58" i="1"/>
  <c r="G57" i="1"/>
  <c r="H57" i="1"/>
  <c r="E59" i="1"/>
  <c r="E58" i="1"/>
  <c r="L56" i="1"/>
  <c r="G56" i="1"/>
  <c r="M56" i="1"/>
  <c r="H56" i="1"/>
  <c r="E57" i="1"/>
  <c r="G55" i="1"/>
  <c r="L55" i="1"/>
  <c r="M55" i="1"/>
  <c r="H55" i="1"/>
  <c r="E56" i="1"/>
  <c r="L54" i="1"/>
  <c r="H54" i="1"/>
  <c r="E55" i="1"/>
  <c r="G49" i="1"/>
  <c r="L49" i="1"/>
  <c r="M49" i="1"/>
  <c r="G48" i="1"/>
  <c r="L48" i="1"/>
  <c r="M48" i="1"/>
  <c r="M45" i="1"/>
  <c r="M47" i="1"/>
  <c r="G51" i="1"/>
  <c r="L51" i="1"/>
  <c r="M51" i="1"/>
  <c r="G52" i="1"/>
  <c r="L52" i="1"/>
  <c r="M52" i="1"/>
  <c r="G53" i="1"/>
  <c r="H53" i="1"/>
  <c r="E54" i="1"/>
  <c r="H52" i="1"/>
  <c r="E53" i="1"/>
  <c r="H51" i="1"/>
  <c r="E52" i="1"/>
  <c r="L50" i="1"/>
  <c r="G50" i="1"/>
  <c r="H50" i="1"/>
  <c r="E51" i="1"/>
  <c r="H49" i="1"/>
  <c r="E50" i="1"/>
  <c r="E49" i="1"/>
  <c r="H48" i="1"/>
  <c r="H47" i="1"/>
  <c r="E48" i="1"/>
  <c r="L46" i="1"/>
  <c r="M46" i="1"/>
  <c r="H46" i="1"/>
  <c r="E47" i="1"/>
  <c r="G44" i="1"/>
  <c r="L44" i="1"/>
  <c r="M44" i="1"/>
  <c r="L43" i="1"/>
  <c r="G43" i="1"/>
  <c r="M43" i="1"/>
  <c r="L42" i="1"/>
  <c r="M42" i="1"/>
  <c r="L41" i="1"/>
  <c r="G41" i="1"/>
  <c r="M41" i="1"/>
  <c r="G40" i="1"/>
  <c r="L40" i="1"/>
  <c r="M40" i="1"/>
  <c r="L39" i="1"/>
  <c r="G39" i="1"/>
  <c r="M39" i="1"/>
  <c r="L38" i="1"/>
  <c r="G38" i="1"/>
  <c r="M38" i="1"/>
  <c r="L37" i="1"/>
  <c r="M37" i="1"/>
  <c r="L36" i="1"/>
  <c r="G36" i="1"/>
  <c r="M36" i="1"/>
  <c r="L35" i="1"/>
  <c r="M35" i="1"/>
  <c r="L34" i="1"/>
  <c r="G34" i="1"/>
  <c r="M34" i="1"/>
  <c r="L33" i="1"/>
  <c r="M33" i="1"/>
  <c r="L32" i="1"/>
  <c r="M32" i="1"/>
  <c r="L31" i="1"/>
  <c r="M31" i="1"/>
  <c r="L30" i="1"/>
  <c r="G30" i="1"/>
  <c r="M30" i="1"/>
  <c r="L29" i="1"/>
  <c r="G29" i="1"/>
  <c r="M29" i="1"/>
  <c r="L28" i="1"/>
  <c r="G28" i="1"/>
  <c r="M28" i="1"/>
  <c r="L27" i="1"/>
  <c r="G27" i="1"/>
  <c r="M27" i="1"/>
  <c r="G26" i="1"/>
  <c r="M26" i="1"/>
  <c r="L25" i="1"/>
  <c r="M25" i="1"/>
  <c r="L24" i="1"/>
  <c r="G24" i="1"/>
  <c r="M24" i="1"/>
  <c r="L23" i="1"/>
  <c r="G23" i="1"/>
  <c r="M23" i="1"/>
  <c r="L22" i="1"/>
  <c r="M22" i="1"/>
  <c r="L21" i="1"/>
  <c r="G21" i="1"/>
  <c r="M21" i="1"/>
  <c r="L20" i="1"/>
  <c r="G20" i="1"/>
  <c r="M20" i="1"/>
  <c r="L19" i="1"/>
  <c r="G19" i="1"/>
  <c r="M19" i="1"/>
  <c r="L18" i="1"/>
  <c r="G18" i="1"/>
  <c r="M18" i="1"/>
  <c r="M17" i="1"/>
  <c r="L16" i="1"/>
  <c r="G16" i="1"/>
  <c r="M16" i="1"/>
  <c r="L15" i="1"/>
  <c r="G15" i="1"/>
  <c r="M15" i="1"/>
  <c r="L14" i="1"/>
  <c r="G14" i="1"/>
  <c r="M14" i="1"/>
  <c r="L13" i="1"/>
  <c r="G13" i="1"/>
  <c r="M13" i="1"/>
  <c r="L12" i="1"/>
  <c r="G12" i="1"/>
  <c r="M12" i="1"/>
  <c r="L11" i="1"/>
  <c r="G11" i="1"/>
  <c r="M11" i="1"/>
  <c r="L10" i="1"/>
  <c r="M10" i="1"/>
  <c r="L9" i="1"/>
  <c r="M9" i="1"/>
  <c r="L8" i="1"/>
  <c r="G8" i="1"/>
  <c r="M8" i="1"/>
  <c r="L7" i="1"/>
  <c r="G7" i="1"/>
  <c r="M7" i="1"/>
  <c r="L6" i="1"/>
  <c r="M6" i="1"/>
  <c r="L5" i="1"/>
  <c r="M5" i="1"/>
  <c r="L4" i="1"/>
  <c r="G4" i="1"/>
  <c r="M4" i="1"/>
  <c r="L3" i="1"/>
  <c r="M3" i="1"/>
  <c r="H45" i="1"/>
  <c r="E46" i="1"/>
  <c r="H44" i="1"/>
  <c r="E45" i="1"/>
  <c r="H43" i="1"/>
  <c r="E44" i="1"/>
  <c r="H42" i="1"/>
  <c r="E43" i="1"/>
  <c r="H41" i="1"/>
  <c r="H40" i="1"/>
  <c r="E42" i="1"/>
  <c r="E41" i="1"/>
  <c r="L2" i="1"/>
  <c r="H39" i="1"/>
  <c r="E40" i="1"/>
  <c r="H38" i="1"/>
  <c r="E39" i="1"/>
  <c r="E38" i="1"/>
  <c r="H37" i="1"/>
  <c r="H36" i="1"/>
  <c r="E37" i="1"/>
  <c r="E36" i="1"/>
  <c r="H35" i="1"/>
  <c r="H34" i="1"/>
  <c r="E35" i="1"/>
  <c r="E34" i="1"/>
  <c r="H33" i="1"/>
  <c r="H32" i="1"/>
  <c r="E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E32" i="1"/>
  <c r="E31" i="1"/>
  <c r="E3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M53" i="1"/>
</calcChain>
</file>

<file path=xl/sharedStrings.xml><?xml version="1.0" encoding="utf-8"?>
<sst xmlns="http://schemas.openxmlformats.org/spreadsheetml/2006/main" count="18" uniqueCount="18">
  <si>
    <t>日にち</t>
    <rPh sb="0" eb="1">
      <t>ヒ</t>
    </rPh>
    <phoneticPr fontId="1"/>
  </si>
  <si>
    <t>施術後(Kg)</t>
    <rPh sb="0" eb="2">
      <t>セジュツ</t>
    </rPh>
    <rPh sb="2" eb="3">
      <t>ゴ</t>
    </rPh>
    <phoneticPr fontId="1"/>
  </si>
  <si>
    <t>差(Kg)</t>
    <rPh sb="0" eb="1">
      <t>サ</t>
    </rPh>
    <phoneticPr fontId="1"/>
  </si>
  <si>
    <t>摂取カロリー</t>
    <rPh sb="0" eb="2">
      <t>セッシュ</t>
    </rPh>
    <phoneticPr fontId="1"/>
  </si>
  <si>
    <t>(内、アルコール）</t>
    <rPh sb="1" eb="2">
      <t>ウチ</t>
    </rPh>
    <phoneticPr fontId="1"/>
  </si>
  <si>
    <t>アルコール外</t>
    <rPh sb="5" eb="6">
      <t>ガイ</t>
    </rPh>
    <phoneticPr fontId="1"/>
  </si>
  <si>
    <t>基礎代謝</t>
    <rPh sb="0" eb="2">
      <t>キソ</t>
    </rPh>
    <rPh sb="2" eb="4">
      <t>タイシャ</t>
    </rPh>
    <phoneticPr fontId="1"/>
  </si>
  <si>
    <t>70Kg時摂取目標CAL</t>
    <rPh sb="4" eb="5">
      <t>ジ</t>
    </rPh>
    <rPh sb="5" eb="7">
      <t>セッシュ</t>
    </rPh>
    <rPh sb="7" eb="9">
      <t>モクヒョウ</t>
    </rPh>
    <phoneticPr fontId="1"/>
  </si>
  <si>
    <t>飲酒時摂取カロリー</t>
    <rPh sb="0" eb="2">
      <t>インシュ</t>
    </rPh>
    <rPh sb="2" eb="3">
      <t>ジ</t>
    </rPh>
    <rPh sb="3" eb="5">
      <t>セッシュ</t>
    </rPh>
    <phoneticPr fontId="1"/>
  </si>
  <si>
    <t>朝体重(Kg)</t>
    <rPh sb="0" eb="1">
      <t>アサ</t>
    </rPh>
    <rPh sb="1" eb="3">
      <t>タイジュウ</t>
    </rPh>
    <phoneticPr fontId="1"/>
  </si>
  <si>
    <t>飲酒時Alc外摂取カロリー</t>
    <rPh sb="0" eb="2">
      <t>インシュ</t>
    </rPh>
    <rPh sb="2" eb="3">
      <t>ジ</t>
    </rPh>
    <rPh sb="6" eb="7">
      <t>ガイ</t>
    </rPh>
    <rPh sb="7" eb="9">
      <t>セッシュ</t>
    </rPh>
    <phoneticPr fontId="1"/>
  </si>
  <si>
    <t>運動消費CAL</t>
    <rPh sb="0" eb="2">
      <t>ウンドウ</t>
    </rPh>
    <rPh sb="2" eb="4">
      <t>ショウヒ</t>
    </rPh>
    <phoneticPr fontId="1"/>
  </si>
  <si>
    <t>平均体重(Kg)</t>
    <rPh sb="0" eb="2">
      <t>ヘイキン</t>
    </rPh>
    <rPh sb="2" eb="4">
      <t>タイジュウ</t>
    </rPh>
    <phoneticPr fontId="1"/>
  </si>
  <si>
    <t>体重増減</t>
    <rPh sb="0" eb="2">
      <t>タイジュウ</t>
    </rPh>
    <rPh sb="2" eb="4">
      <t>ゾウゲン</t>
    </rPh>
    <phoneticPr fontId="1"/>
  </si>
  <si>
    <t>右軸：体重増減(kg)</t>
    <rPh sb="0" eb="1">
      <t>ミギ</t>
    </rPh>
    <rPh sb="1" eb="2">
      <t>ジク</t>
    </rPh>
    <rPh sb="3" eb="5">
      <t>タイジュウ</t>
    </rPh>
    <rPh sb="5" eb="7">
      <t>ゾウゲン</t>
    </rPh>
    <phoneticPr fontId="1"/>
  </si>
  <si>
    <t>１日の目標運動量330(kcal)に対する前々日と前日の合算運動量差(kcal)</t>
    <rPh sb="1" eb="2">
      <t>ニチ</t>
    </rPh>
    <rPh sb="5" eb="7">
      <t>ウンドウ</t>
    </rPh>
    <rPh sb="7" eb="8">
      <t>リョウ</t>
    </rPh>
    <rPh sb="18" eb="19">
      <t>タイ</t>
    </rPh>
    <rPh sb="21" eb="24">
      <t>ゼンゼンジツ</t>
    </rPh>
    <rPh sb="25" eb="27">
      <t>ゼンジツ</t>
    </rPh>
    <rPh sb="28" eb="30">
      <t>ガッサン</t>
    </rPh>
    <rPh sb="30" eb="32">
      <t>ウンドウ</t>
    </rPh>
    <rPh sb="32" eb="33">
      <t>リョウ</t>
    </rPh>
    <rPh sb="33" eb="34">
      <t>サ</t>
    </rPh>
    <phoneticPr fontId="1"/>
  </si>
  <si>
    <t>摂取目標カロリー差</t>
    <rPh sb="0" eb="2">
      <t>セッシュ</t>
    </rPh>
    <rPh sb="2" eb="4">
      <t>モクヒョウ</t>
    </rPh>
    <rPh sb="8" eb="9">
      <t>サ</t>
    </rPh>
    <phoneticPr fontId="1"/>
  </si>
  <si>
    <t>左軸：前々日と前日の摂取と摂取目標カロリー差合算(kcal)</t>
    <rPh sb="0" eb="1">
      <t>ヒダリ</t>
    </rPh>
    <rPh sb="1" eb="2">
      <t>ジク</t>
    </rPh>
    <rPh sb="3" eb="6">
      <t>ゼンゼンジツ</t>
    </rPh>
    <rPh sb="7" eb="9">
      <t>ゼンジツ</t>
    </rPh>
    <rPh sb="10" eb="12">
      <t>セッシュ</t>
    </rPh>
    <rPh sb="13" eb="15">
      <t>セッシュ</t>
    </rPh>
    <rPh sb="15" eb="17">
      <t>モクヒョウ</t>
    </rPh>
    <rPh sb="21" eb="22">
      <t>サ</t>
    </rPh>
    <rPh sb="22" eb="24">
      <t>ガッサン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</si>
</sst>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0_ "/>
    <numFmt numFmtId="177" formatCode="m&quot;月&quot;d&quot;日&quot;;@"/>
    <numFmt numFmtId="178" formatCode="0.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0" borderId="0" xfId="0" applyNumberFormat="1">
      <alignment vertical="center"/>
    </xf>
    <xf numFmtId="176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0" fontId="0" fillId="3" borderId="0" xfId="0" applyFill="1" applyAlignment="1">
      <alignment horizontal="center" vertical="center"/>
    </xf>
    <xf numFmtId="56" fontId="0" fillId="4" borderId="0" xfId="0" applyNumberFormat="1" applyFill="1">
      <alignment vertical="center"/>
    </xf>
    <xf numFmtId="0" fontId="0" fillId="4" borderId="0" xfId="0" applyFill="1">
      <alignment vertical="center"/>
    </xf>
    <xf numFmtId="56" fontId="0" fillId="5" borderId="0" xfId="0" applyNumberFormat="1" applyFill="1">
      <alignment vertical="center"/>
    </xf>
    <xf numFmtId="0" fontId="0" fillId="5" borderId="0" xfId="0" applyFill="1">
      <alignment vertical="center"/>
    </xf>
    <xf numFmtId="178" fontId="0" fillId="3" borderId="0" xfId="0" applyNumberFormat="1" applyFill="1" applyAlignment="1">
      <alignment horizontal="center" vertical="center"/>
    </xf>
    <xf numFmtId="178" fontId="0" fillId="0" borderId="0" xfId="0" applyNumberFormat="1">
      <alignment vertical="center"/>
    </xf>
    <xf numFmtId="178" fontId="0" fillId="3" borderId="0" xfId="0" applyNumberFormat="1" applyFill="1" applyAlignment="1">
      <alignment horizontal="center" vertical="center" wrapText="1"/>
    </xf>
    <xf numFmtId="5" fontId="0" fillId="3" borderId="0" xfId="0" applyNumberFormat="1" applyFill="1" applyAlignment="1">
      <alignment horizontal="center" vertical="center" wrapText="1"/>
    </xf>
    <xf numFmtId="0" fontId="4" fillId="4" borderId="0" xfId="0" applyFont="1" applyFill="1">
      <alignment vertical="center"/>
    </xf>
  </cellXfs>
  <cellStyles count="3">
    <cellStyle name="ハイパーリンク" xfId="2" builtinId="8" hidden="1"/>
    <cellStyle name="標準" xfId="0" builtinId="0"/>
    <cellStyle name="表示済みのハイパーリンク" xfId="1" builtinId="9" hidden="1"/>
  </cellStyles>
  <dxfs count="0"/>
  <tableStyles count="0" defaultTableStyle="TableStyleMedium2" defaultPivotStyle="PivotStyleLight16"/>
  <colors>
    <mruColors>
      <color rgb="FFFF99FF"/>
      <color rgb="FFFFCCFF"/>
      <color rgb="FFFF6699"/>
      <color rgb="FFCCE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BDPMⅡ</a:t>
            </a:r>
            <a:r>
              <a:rPr lang="ja-JP" altLang="en-US"/>
              <a:t>痩身法「体重減遷移」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基データ!$B$1</c:f>
              <c:strCache>
                <c:ptCount val="1"/>
                <c:pt idx="0">
                  <c:v>朝体重(Kg)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基データ!$B$2:$B$207</c:f>
              <c:numCache>
                <c:formatCode>General</c:formatCode>
                <c:ptCount val="206"/>
                <c:pt idx="0">
                  <c:v>82.4</c:v>
                </c:pt>
                <c:pt idx="1">
                  <c:v>82.4</c:v>
                </c:pt>
                <c:pt idx="2">
                  <c:v>83</c:v>
                </c:pt>
                <c:pt idx="3">
                  <c:v>82.4</c:v>
                </c:pt>
                <c:pt idx="4">
                  <c:v>81.400000000000006</c:v>
                </c:pt>
                <c:pt idx="5">
                  <c:v>81.400000000000006</c:v>
                </c:pt>
                <c:pt idx="6">
                  <c:v>81.400000000000006</c:v>
                </c:pt>
                <c:pt idx="7">
                  <c:v>81.599999999999994</c:v>
                </c:pt>
                <c:pt idx="8">
                  <c:v>80.8</c:v>
                </c:pt>
                <c:pt idx="9">
                  <c:v>80.8</c:v>
                </c:pt>
                <c:pt idx="10">
                  <c:v>80.8</c:v>
                </c:pt>
                <c:pt idx="11">
                  <c:v>80.8</c:v>
                </c:pt>
                <c:pt idx="12">
                  <c:v>81.3</c:v>
                </c:pt>
                <c:pt idx="13">
                  <c:v>80.599999999999994</c:v>
                </c:pt>
                <c:pt idx="14">
                  <c:v>80.599999999999994</c:v>
                </c:pt>
                <c:pt idx="15">
                  <c:v>80.599999999999994</c:v>
                </c:pt>
                <c:pt idx="16">
                  <c:v>80.599999999999994</c:v>
                </c:pt>
                <c:pt idx="17">
                  <c:v>79.8</c:v>
                </c:pt>
                <c:pt idx="18">
                  <c:v>79.8</c:v>
                </c:pt>
                <c:pt idx="19">
                  <c:v>79.8</c:v>
                </c:pt>
                <c:pt idx="20">
                  <c:v>79.8</c:v>
                </c:pt>
                <c:pt idx="21">
                  <c:v>79.3</c:v>
                </c:pt>
                <c:pt idx="22">
                  <c:v>79.3</c:v>
                </c:pt>
                <c:pt idx="23">
                  <c:v>80.5</c:v>
                </c:pt>
                <c:pt idx="24">
                  <c:v>79.3</c:v>
                </c:pt>
                <c:pt idx="25">
                  <c:v>79.3</c:v>
                </c:pt>
                <c:pt idx="26">
                  <c:v>79.3</c:v>
                </c:pt>
                <c:pt idx="27">
                  <c:v>79</c:v>
                </c:pt>
                <c:pt idx="28">
                  <c:v>78.8</c:v>
                </c:pt>
                <c:pt idx="29">
                  <c:v>79.2</c:v>
                </c:pt>
                <c:pt idx="30">
                  <c:v>78.400000000000006</c:v>
                </c:pt>
                <c:pt idx="31">
                  <c:v>78.900000000000006</c:v>
                </c:pt>
                <c:pt idx="32">
                  <c:v>78.2</c:v>
                </c:pt>
                <c:pt idx="33">
                  <c:v>78.7</c:v>
                </c:pt>
                <c:pt idx="34">
                  <c:v>78.7</c:v>
                </c:pt>
                <c:pt idx="35">
                  <c:v>78.400000000000006</c:v>
                </c:pt>
                <c:pt idx="36">
                  <c:v>78.400000000000006</c:v>
                </c:pt>
                <c:pt idx="37">
                  <c:v>79.2</c:v>
                </c:pt>
                <c:pt idx="38">
                  <c:v>78.400000000000006</c:v>
                </c:pt>
                <c:pt idx="39">
                  <c:v>78.3</c:v>
                </c:pt>
                <c:pt idx="40">
                  <c:v>78.400000000000006</c:v>
                </c:pt>
                <c:pt idx="41">
                  <c:v>78.8</c:v>
                </c:pt>
                <c:pt idx="42">
                  <c:v>78.8</c:v>
                </c:pt>
                <c:pt idx="43">
                  <c:v>79.2</c:v>
                </c:pt>
                <c:pt idx="44">
                  <c:v>78.5</c:v>
                </c:pt>
                <c:pt idx="45">
                  <c:v>78.5</c:v>
                </c:pt>
                <c:pt idx="46">
                  <c:v>77.900000000000006</c:v>
                </c:pt>
                <c:pt idx="47">
                  <c:v>78.400000000000006</c:v>
                </c:pt>
                <c:pt idx="48">
                  <c:v>78.099999999999994</c:v>
                </c:pt>
                <c:pt idx="49">
                  <c:v>78.099999999999994</c:v>
                </c:pt>
                <c:pt idx="50">
                  <c:v>78.5</c:v>
                </c:pt>
                <c:pt idx="51">
                  <c:v>79</c:v>
                </c:pt>
                <c:pt idx="52">
                  <c:v>77.599999999999994</c:v>
                </c:pt>
                <c:pt idx="53">
                  <c:v>77.599999999999994</c:v>
                </c:pt>
                <c:pt idx="54">
                  <c:v>78.099999999999994</c:v>
                </c:pt>
                <c:pt idx="55">
                  <c:v>77.5</c:v>
                </c:pt>
                <c:pt idx="56">
                  <c:v>77</c:v>
                </c:pt>
                <c:pt idx="57">
                  <c:v>77</c:v>
                </c:pt>
                <c:pt idx="58">
                  <c:v>77</c:v>
                </c:pt>
                <c:pt idx="59">
                  <c:v>76.7</c:v>
                </c:pt>
                <c:pt idx="60">
                  <c:v>77.3</c:v>
                </c:pt>
                <c:pt idx="61">
                  <c:v>76.900000000000006</c:v>
                </c:pt>
                <c:pt idx="62">
                  <c:v>76.900000000000006</c:v>
                </c:pt>
                <c:pt idx="63">
                  <c:v>76.900000000000006</c:v>
                </c:pt>
                <c:pt idx="64">
                  <c:v>76.900000000000006</c:v>
                </c:pt>
                <c:pt idx="65">
                  <c:v>76.599999999999994</c:v>
                </c:pt>
                <c:pt idx="66">
                  <c:v>76.599999999999994</c:v>
                </c:pt>
                <c:pt idx="67">
                  <c:v>76.8</c:v>
                </c:pt>
                <c:pt idx="68">
                  <c:v>77.5</c:v>
                </c:pt>
                <c:pt idx="69">
                  <c:v>76.2</c:v>
                </c:pt>
                <c:pt idx="70">
                  <c:v>75.900000000000006</c:v>
                </c:pt>
                <c:pt idx="71">
                  <c:v>76.400000000000006</c:v>
                </c:pt>
                <c:pt idx="72">
                  <c:v>76.400000000000006</c:v>
                </c:pt>
                <c:pt idx="73">
                  <c:v>76.099999999999994</c:v>
                </c:pt>
                <c:pt idx="74">
                  <c:v>76.400000000000006</c:v>
                </c:pt>
                <c:pt idx="75">
                  <c:v>76.400000000000006</c:v>
                </c:pt>
                <c:pt idx="76">
                  <c:v>75.599999999999994</c:v>
                </c:pt>
                <c:pt idx="77">
                  <c:v>76.099999999999994</c:v>
                </c:pt>
                <c:pt idx="78">
                  <c:v>76.099999999999994</c:v>
                </c:pt>
                <c:pt idx="79">
                  <c:v>76.099999999999994</c:v>
                </c:pt>
                <c:pt idx="80">
                  <c:v>75.5</c:v>
                </c:pt>
                <c:pt idx="81">
                  <c:v>76</c:v>
                </c:pt>
                <c:pt idx="82">
                  <c:v>76</c:v>
                </c:pt>
                <c:pt idx="83">
                  <c:v>74.7</c:v>
                </c:pt>
                <c:pt idx="84">
                  <c:v>75.2</c:v>
                </c:pt>
                <c:pt idx="85">
                  <c:v>75.3</c:v>
                </c:pt>
                <c:pt idx="86">
                  <c:v>74.900000000000006</c:v>
                </c:pt>
                <c:pt idx="87">
                  <c:v>74.900000000000006</c:v>
                </c:pt>
                <c:pt idx="88">
                  <c:v>75.2</c:v>
                </c:pt>
                <c:pt idx="89">
                  <c:v>75.599999999999994</c:v>
                </c:pt>
                <c:pt idx="90">
                  <c:v>74.900000000000006</c:v>
                </c:pt>
                <c:pt idx="91">
                  <c:v>75.599999999999994</c:v>
                </c:pt>
                <c:pt idx="92">
                  <c:v>75.3</c:v>
                </c:pt>
                <c:pt idx="93">
                  <c:v>75.3</c:v>
                </c:pt>
                <c:pt idx="94">
                  <c:v>75.2</c:v>
                </c:pt>
                <c:pt idx="95">
                  <c:v>74.900000000000006</c:v>
                </c:pt>
                <c:pt idx="96">
                  <c:v>75.599999999999994</c:v>
                </c:pt>
                <c:pt idx="97">
                  <c:v>75.900000000000006</c:v>
                </c:pt>
                <c:pt idx="98">
                  <c:v>75.7</c:v>
                </c:pt>
                <c:pt idx="99">
                  <c:v>75.3</c:v>
                </c:pt>
                <c:pt idx="100">
                  <c:v>75.400000000000006</c:v>
                </c:pt>
                <c:pt idx="101">
                  <c:v>75.400000000000006</c:v>
                </c:pt>
                <c:pt idx="102">
                  <c:v>75.400000000000006</c:v>
                </c:pt>
                <c:pt idx="103">
                  <c:v>75.7</c:v>
                </c:pt>
                <c:pt idx="104">
                  <c:v>75.2</c:v>
                </c:pt>
                <c:pt idx="105">
                  <c:v>74.900000000000006</c:v>
                </c:pt>
                <c:pt idx="106">
                  <c:v>75.2</c:v>
                </c:pt>
                <c:pt idx="107">
                  <c:v>74.599999999999994</c:v>
                </c:pt>
                <c:pt idx="108">
                  <c:v>74.599999999999994</c:v>
                </c:pt>
                <c:pt idx="109">
                  <c:v>75.2</c:v>
                </c:pt>
                <c:pt idx="110">
                  <c:v>74.7</c:v>
                </c:pt>
                <c:pt idx="111">
                  <c:v>74.3</c:v>
                </c:pt>
                <c:pt idx="112">
                  <c:v>74.3</c:v>
                </c:pt>
                <c:pt idx="113">
                  <c:v>75.099999999999994</c:v>
                </c:pt>
                <c:pt idx="114">
                  <c:v>75.2</c:v>
                </c:pt>
                <c:pt idx="115">
                  <c:v>75.099999999999994</c:v>
                </c:pt>
                <c:pt idx="116">
                  <c:v>75.400000000000006</c:v>
                </c:pt>
                <c:pt idx="117">
                  <c:v>74.7</c:v>
                </c:pt>
                <c:pt idx="118">
                  <c:v>74.099999999999994</c:v>
                </c:pt>
                <c:pt idx="119">
                  <c:v>74.900000000000006</c:v>
                </c:pt>
                <c:pt idx="120">
                  <c:v>74.099999999999994</c:v>
                </c:pt>
                <c:pt idx="121">
                  <c:v>75</c:v>
                </c:pt>
                <c:pt idx="122">
                  <c:v>75</c:v>
                </c:pt>
                <c:pt idx="123">
                  <c:v>74.400000000000006</c:v>
                </c:pt>
                <c:pt idx="124">
                  <c:v>74.7</c:v>
                </c:pt>
                <c:pt idx="125">
                  <c:v>74.099999999999994</c:v>
                </c:pt>
                <c:pt idx="126">
                  <c:v>74.099999999999994</c:v>
                </c:pt>
                <c:pt idx="127">
                  <c:v>74.099999999999994</c:v>
                </c:pt>
                <c:pt idx="128">
                  <c:v>74.099999999999994</c:v>
                </c:pt>
                <c:pt idx="129">
                  <c:v>74.099999999999994</c:v>
                </c:pt>
                <c:pt idx="130">
                  <c:v>74.099999999999994</c:v>
                </c:pt>
                <c:pt idx="131">
                  <c:v>74.099999999999994</c:v>
                </c:pt>
                <c:pt idx="132">
                  <c:v>73.7</c:v>
                </c:pt>
                <c:pt idx="133">
                  <c:v>73.7</c:v>
                </c:pt>
                <c:pt idx="134">
                  <c:v>74</c:v>
                </c:pt>
                <c:pt idx="135">
                  <c:v>74.7</c:v>
                </c:pt>
                <c:pt idx="136">
                  <c:v>74.7</c:v>
                </c:pt>
                <c:pt idx="137">
                  <c:v>74.099999999999994</c:v>
                </c:pt>
                <c:pt idx="138">
                  <c:v>74.099999999999994</c:v>
                </c:pt>
                <c:pt idx="139">
                  <c:v>74.099999999999994</c:v>
                </c:pt>
                <c:pt idx="140">
                  <c:v>74.099999999999994</c:v>
                </c:pt>
                <c:pt idx="141">
                  <c:v>73.5</c:v>
                </c:pt>
                <c:pt idx="142">
                  <c:v>73.5</c:v>
                </c:pt>
                <c:pt idx="143">
                  <c:v>73.5</c:v>
                </c:pt>
                <c:pt idx="144">
                  <c:v>73.5</c:v>
                </c:pt>
                <c:pt idx="145">
                  <c:v>73.5</c:v>
                </c:pt>
                <c:pt idx="146">
                  <c:v>72.7</c:v>
                </c:pt>
                <c:pt idx="147">
                  <c:v>72.2</c:v>
                </c:pt>
                <c:pt idx="148">
                  <c:v>73</c:v>
                </c:pt>
                <c:pt idx="149">
                  <c:v>74.2</c:v>
                </c:pt>
                <c:pt idx="150">
                  <c:v>74.3</c:v>
                </c:pt>
                <c:pt idx="151">
                  <c:v>72.400000000000006</c:v>
                </c:pt>
                <c:pt idx="152">
                  <c:v>73.5</c:v>
                </c:pt>
                <c:pt idx="153">
                  <c:v>72.900000000000006</c:v>
                </c:pt>
                <c:pt idx="154">
                  <c:v>73.400000000000006</c:v>
                </c:pt>
                <c:pt idx="155">
                  <c:v>73.400000000000006</c:v>
                </c:pt>
                <c:pt idx="156">
                  <c:v>73.8</c:v>
                </c:pt>
                <c:pt idx="157">
                  <c:v>73.5</c:v>
                </c:pt>
                <c:pt idx="158">
                  <c:v>74.099999999999994</c:v>
                </c:pt>
                <c:pt idx="159">
                  <c:v>73.5</c:v>
                </c:pt>
                <c:pt idx="160">
                  <c:v>73.8</c:v>
                </c:pt>
                <c:pt idx="161">
                  <c:v>73.599999999999994</c:v>
                </c:pt>
                <c:pt idx="162">
                  <c:v>73.599999999999994</c:v>
                </c:pt>
                <c:pt idx="163">
                  <c:v>73.599999999999994</c:v>
                </c:pt>
                <c:pt idx="164">
                  <c:v>73.900000000000006</c:v>
                </c:pt>
                <c:pt idx="165">
                  <c:v>74.099999999999994</c:v>
                </c:pt>
                <c:pt idx="166">
                  <c:v>74.099999999999994</c:v>
                </c:pt>
                <c:pt idx="167">
                  <c:v>73.599999999999994</c:v>
                </c:pt>
                <c:pt idx="168">
                  <c:v>73.400000000000006</c:v>
                </c:pt>
                <c:pt idx="169">
                  <c:v>73.5</c:v>
                </c:pt>
                <c:pt idx="170">
                  <c:v>74</c:v>
                </c:pt>
                <c:pt idx="171">
                  <c:v>73.400000000000006</c:v>
                </c:pt>
                <c:pt idx="172">
                  <c:v>73.099999999999994</c:v>
                </c:pt>
                <c:pt idx="173">
                  <c:v>74.400000000000006</c:v>
                </c:pt>
                <c:pt idx="174">
                  <c:v>74.3</c:v>
                </c:pt>
                <c:pt idx="175">
                  <c:v>73.599999999999994</c:v>
                </c:pt>
                <c:pt idx="176">
                  <c:v>73.8</c:v>
                </c:pt>
                <c:pt idx="177">
                  <c:v>74.3</c:v>
                </c:pt>
                <c:pt idx="178">
                  <c:v>73.8</c:v>
                </c:pt>
                <c:pt idx="179">
                  <c:v>74.3</c:v>
                </c:pt>
                <c:pt idx="180">
                  <c:v>74.5</c:v>
                </c:pt>
                <c:pt idx="181">
                  <c:v>73.3</c:v>
                </c:pt>
                <c:pt idx="182">
                  <c:v>73.7</c:v>
                </c:pt>
                <c:pt idx="183">
                  <c:v>74.2</c:v>
                </c:pt>
                <c:pt idx="184">
                  <c:v>73.900000000000006</c:v>
                </c:pt>
                <c:pt idx="185">
                  <c:v>74</c:v>
                </c:pt>
                <c:pt idx="186">
                  <c:v>74</c:v>
                </c:pt>
                <c:pt idx="187">
                  <c:v>74.2</c:v>
                </c:pt>
                <c:pt idx="188">
                  <c:v>74.599999999999994</c:v>
                </c:pt>
                <c:pt idx="189">
                  <c:v>74.3</c:v>
                </c:pt>
                <c:pt idx="190">
                  <c:v>74.2</c:v>
                </c:pt>
                <c:pt idx="191">
                  <c:v>74.2</c:v>
                </c:pt>
                <c:pt idx="192">
                  <c:v>74.900000000000006</c:v>
                </c:pt>
                <c:pt idx="193">
                  <c:v>74</c:v>
                </c:pt>
                <c:pt idx="194">
                  <c:v>75.3</c:v>
                </c:pt>
                <c:pt idx="195">
                  <c:v>74.3</c:v>
                </c:pt>
                <c:pt idx="196">
                  <c:v>73.2</c:v>
                </c:pt>
                <c:pt idx="197">
                  <c:v>74.3</c:v>
                </c:pt>
                <c:pt idx="198">
                  <c:v>73.900000000000006</c:v>
                </c:pt>
                <c:pt idx="199">
                  <c:v>74.2</c:v>
                </c:pt>
                <c:pt idx="200">
                  <c:v>75.099999999999994</c:v>
                </c:pt>
                <c:pt idx="201">
                  <c:v>74.099999999999994</c:v>
                </c:pt>
                <c:pt idx="202">
                  <c:v>73.7</c:v>
                </c:pt>
                <c:pt idx="203">
                  <c:v>74.099999999999994</c:v>
                </c:pt>
                <c:pt idx="204">
                  <c:v>73.7</c:v>
                </c:pt>
                <c:pt idx="205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A-4404-9189-7EB0A87C144C}"/>
            </c:ext>
          </c:extLst>
        </c:ser>
        <c:ser>
          <c:idx val="1"/>
          <c:order val="1"/>
          <c:tx>
            <c:strRef>
              <c:f>基データ!$C$1</c:f>
              <c:strCache>
                <c:ptCount val="1"/>
                <c:pt idx="0">
                  <c:v>施術後(Kg)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基データ!$C$2:$C$207</c:f>
              <c:numCache>
                <c:formatCode>General</c:formatCode>
                <c:ptCount val="206"/>
                <c:pt idx="0">
                  <c:v>82.2</c:v>
                </c:pt>
                <c:pt idx="3">
                  <c:v>81.599999999999994</c:v>
                </c:pt>
                <c:pt idx="7">
                  <c:v>80.8</c:v>
                </c:pt>
                <c:pt idx="12">
                  <c:v>80.2</c:v>
                </c:pt>
                <c:pt idx="16">
                  <c:v>79.5</c:v>
                </c:pt>
                <c:pt idx="17">
                  <c:v>79.2</c:v>
                </c:pt>
                <c:pt idx="20">
                  <c:v>79</c:v>
                </c:pt>
                <c:pt idx="23">
                  <c:v>79</c:v>
                </c:pt>
                <c:pt idx="26">
                  <c:v>78.5</c:v>
                </c:pt>
                <c:pt idx="30">
                  <c:v>78</c:v>
                </c:pt>
                <c:pt idx="33">
                  <c:v>78.2</c:v>
                </c:pt>
                <c:pt idx="37">
                  <c:v>77.7</c:v>
                </c:pt>
                <c:pt idx="40">
                  <c:v>77.2</c:v>
                </c:pt>
                <c:pt idx="44">
                  <c:v>77.5</c:v>
                </c:pt>
                <c:pt idx="48">
                  <c:v>77.2</c:v>
                </c:pt>
                <c:pt idx="51">
                  <c:v>77.5</c:v>
                </c:pt>
                <c:pt idx="55">
                  <c:v>76.8</c:v>
                </c:pt>
                <c:pt idx="58">
                  <c:v>76.599999999999994</c:v>
                </c:pt>
                <c:pt idx="61">
                  <c:v>76.099999999999994</c:v>
                </c:pt>
                <c:pt idx="65">
                  <c:v>75.900000000000006</c:v>
                </c:pt>
                <c:pt idx="69">
                  <c:v>75.2</c:v>
                </c:pt>
                <c:pt idx="73">
                  <c:v>75.599999999999994</c:v>
                </c:pt>
                <c:pt idx="75">
                  <c:v>75.5</c:v>
                </c:pt>
                <c:pt idx="79">
                  <c:v>74.900000000000006</c:v>
                </c:pt>
                <c:pt idx="82">
                  <c:v>75.2</c:v>
                </c:pt>
                <c:pt idx="86">
                  <c:v>74.3</c:v>
                </c:pt>
                <c:pt idx="89">
                  <c:v>74.7</c:v>
                </c:pt>
                <c:pt idx="93">
                  <c:v>75</c:v>
                </c:pt>
                <c:pt idx="96">
                  <c:v>73.900000000000006</c:v>
                </c:pt>
                <c:pt idx="104">
                  <c:v>73.599999999999994</c:v>
                </c:pt>
                <c:pt idx="107">
                  <c:v>73.5</c:v>
                </c:pt>
                <c:pt idx="110">
                  <c:v>73.2</c:v>
                </c:pt>
                <c:pt idx="117">
                  <c:v>73.7</c:v>
                </c:pt>
                <c:pt idx="124">
                  <c:v>73.900000000000006</c:v>
                </c:pt>
                <c:pt idx="131">
                  <c:v>72.8</c:v>
                </c:pt>
                <c:pt idx="138">
                  <c:v>73</c:v>
                </c:pt>
                <c:pt idx="146">
                  <c:v>72.2</c:v>
                </c:pt>
                <c:pt idx="150">
                  <c:v>73.900000000000006</c:v>
                </c:pt>
                <c:pt idx="153">
                  <c:v>72.900000000000006</c:v>
                </c:pt>
                <c:pt idx="159">
                  <c:v>73.599999999999994</c:v>
                </c:pt>
                <c:pt idx="166">
                  <c:v>73.599999999999994</c:v>
                </c:pt>
                <c:pt idx="168">
                  <c:v>73.900000000000006</c:v>
                </c:pt>
                <c:pt idx="173">
                  <c:v>74</c:v>
                </c:pt>
                <c:pt idx="180">
                  <c:v>73.599999999999994</c:v>
                </c:pt>
                <c:pt idx="187">
                  <c:v>74.2</c:v>
                </c:pt>
                <c:pt idx="191">
                  <c:v>74.099999999999994</c:v>
                </c:pt>
                <c:pt idx="195">
                  <c:v>73.8</c:v>
                </c:pt>
                <c:pt idx="19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A-4404-9189-7EB0A87C144C}"/>
            </c:ext>
          </c:extLst>
        </c:ser>
        <c:ser>
          <c:idx val="2"/>
          <c:order val="2"/>
          <c:tx>
            <c:strRef>
              <c:f>基データ!$D$1</c:f>
              <c:strCache>
                <c:ptCount val="1"/>
                <c:pt idx="0">
                  <c:v>平均体重(Kg)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FF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基データ!$D$2:$D$207</c:f>
              <c:numCache>
                <c:formatCode>General</c:formatCode>
                <c:ptCount val="206"/>
                <c:pt idx="0">
                  <c:v>82.300000000000011</c:v>
                </c:pt>
                <c:pt idx="1">
                  <c:v>82.4</c:v>
                </c:pt>
                <c:pt idx="2">
                  <c:v>83</c:v>
                </c:pt>
                <c:pt idx="3">
                  <c:v>82</c:v>
                </c:pt>
                <c:pt idx="4">
                  <c:v>81.400000000000006</c:v>
                </c:pt>
                <c:pt idx="5">
                  <c:v>81.400000000000006</c:v>
                </c:pt>
                <c:pt idx="6">
                  <c:v>81.400000000000006</c:v>
                </c:pt>
                <c:pt idx="7">
                  <c:v>81.199999999999989</c:v>
                </c:pt>
                <c:pt idx="8">
                  <c:v>80.8</c:v>
                </c:pt>
                <c:pt idx="9">
                  <c:v>80.8</c:v>
                </c:pt>
                <c:pt idx="10">
                  <c:v>80.8</c:v>
                </c:pt>
                <c:pt idx="11">
                  <c:v>80.8</c:v>
                </c:pt>
                <c:pt idx="12">
                  <c:v>80.75</c:v>
                </c:pt>
                <c:pt idx="13">
                  <c:v>80.599999999999994</c:v>
                </c:pt>
                <c:pt idx="14">
                  <c:v>80.599999999999994</c:v>
                </c:pt>
                <c:pt idx="15">
                  <c:v>80.599999999999994</c:v>
                </c:pt>
                <c:pt idx="16">
                  <c:v>80.05</c:v>
                </c:pt>
                <c:pt idx="17">
                  <c:v>79.5</c:v>
                </c:pt>
                <c:pt idx="18">
                  <c:v>79.8</c:v>
                </c:pt>
                <c:pt idx="19">
                  <c:v>79.8</c:v>
                </c:pt>
                <c:pt idx="20">
                  <c:v>79.400000000000006</c:v>
                </c:pt>
                <c:pt idx="21">
                  <c:v>79.3</c:v>
                </c:pt>
                <c:pt idx="22">
                  <c:v>79.3</c:v>
                </c:pt>
                <c:pt idx="23">
                  <c:v>79.75</c:v>
                </c:pt>
                <c:pt idx="24">
                  <c:v>79.3</c:v>
                </c:pt>
                <c:pt idx="25">
                  <c:v>79.3</c:v>
                </c:pt>
                <c:pt idx="26">
                  <c:v>78.900000000000006</c:v>
                </c:pt>
                <c:pt idx="27">
                  <c:v>79</c:v>
                </c:pt>
                <c:pt idx="28">
                  <c:v>78.8</c:v>
                </c:pt>
                <c:pt idx="29">
                  <c:v>79.2</c:v>
                </c:pt>
                <c:pt idx="30">
                  <c:v>78.2</c:v>
                </c:pt>
                <c:pt idx="31">
                  <c:v>78.900000000000006</c:v>
                </c:pt>
                <c:pt idx="32">
                  <c:v>78.2</c:v>
                </c:pt>
                <c:pt idx="33">
                  <c:v>78.45</c:v>
                </c:pt>
                <c:pt idx="34">
                  <c:v>78.7</c:v>
                </c:pt>
                <c:pt idx="35">
                  <c:v>78.400000000000006</c:v>
                </c:pt>
                <c:pt idx="36">
                  <c:v>78.400000000000006</c:v>
                </c:pt>
                <c:pt idx="37">
                  <c:v>78.45</c:v>
                </c:pt>
                <c:pt idx="38">
                  <c:v>78.400000000000006</c:v>
                </c:pt>
                <c:pt idx="39">
                  <c:v>78.3</c:v>
                </c:pt>
                <c:pt idx="40">
                  <c:v>77.800000000000011</c:v>
                </c:pt>
                <c:pt idx="41">
                  <c:v>78.8</c:v>
                </c:pt>
                <c:pt idx="42">
                  <c:v>78.8</c:v>
                </c:pt>
                <c:pt idx="43">
                  <c:v>79.2</c:v>
                </c:pt>
                <c:pt idx="44">
                  <c:v>78</c:v>
                </c:pt>
                <c:pt idx="45">
                  <c:v>78.5</c:v>
                </c:pt>
                <c:pt idx="46">
                  <c:v>77.900000000000006</c:v>
                </c:pt>
                <c:pt idx="47">
                  <c:v>78.400000000000006</c:v>
                </c:pt>
                <c:pt idx="48">
                  <c:v>77.650000000000006</c:v>
                </c:pt>
                <c:pt idx="49">
                  <c:v>78.099999999999994</c:v>
                </c:pt>
                <c:pt idx="50">
                  <c:v>78.5</c:v>
                </c:pt>
                <c:pt idx="51">
                  <c:v>78.25</c:v>
                </c:pt>
                <c:pt idx="52">
                  <c:v>77.599999999999994</c:v>
                </c:pt>
                <c:pt idx="53">
                  <c:v>77.599999999999994</c:v>
                </c:pt>
                <c:pt idx="54">
                  <c:v>78.099999999999994</c:v>
                </c:pt>
                <c:pt idx="55">
                  <c:v>77.150000000000006</c:v>
                </c:pt>
                <c:pt idx="56">
                  <c:v>77</c:v>
                </c:pt>
                <c:pt idx="57">
                  <c:v>77</c:v>
                </c:pt>
                <c:pt idx="58">
                  <c:v>76.8</c:v>
                </c:pt>
                <c:pt idx="59">
                  <c:v>76.7</c:v>
                </c:pt>
                <c:pt idx="60">
                  <c:v>77.3</c:v>
                </c:pt>
                <c:pt idx="61">
                  <c:v>76.5</c:v>
                </c:pt>
                <c:pt idx="62">
                  <c:v>76.900000000000006</c:v>
                </c:pt>
                <c:pt idx="63">
                  <c:v>76.900000000000006</c:v>
                </c:pt>
                <c:pt idx="64">
                  <c:v>76.900000000000006</c:v>
                </c:pt>
                <c:pt idx="65">
                  <c:v>76.25</c:v>
                </c:pt>
                <c:pt idx="66">
                  <c:v>76.599999999999994</c:v>
                </c:pt>
                <c:pt idx="67">
                  <c:v>76.8</c:v>
                </c:pt>
                <c:pt idx="68">
                  <c:v>77.5</c:v>
                </c:pt>
                <c:pt idx="69">
                  <c:v>75.7</c:v>
                </c:pt>
                <c:pt idx="70">
                  <c:v>75.900000000000006</c:v>
                </c:pt>
                <c:pt idx="71">
                  <c:v>76.400000000000006</c:v>
                </c:pt>
                <c:pt idx="72">
                  <c:v>76.400000000000006</c:v>
                </c:pt>
                <c:pt idx="73">
                  <c:v>75.849999999999994</c:v>
                </c:pt>
                <c:pt idx="74">
                  <c:v>76.400000000000006</c:v>
                </c:pt>
                <c:pt idx="75">
                  <c:v>75.95</c:v>
                </c:pt>
                <c:pt idx="76">
                  <c:v>75.599999999999994</c:v>
                </c:pt>
                <c:pt idx="77">
                  <c:v>76.099999999999994</c:v>
                </c:pt>
                <c:pt idx="78">
                  <c:v>76.099999999999994</c:v>
                </c:pt>
                <c:pt idx="79">
                  <c:v>75.5</c:v>
                </c:pt>
                <c:pt idx="80">
                  <c:v>75.5</c:v>
                </c:pt>
                <c:pt idx="81">
                  <c:v>76</c:v>
                </c:pt>
                <c:pt idx="82">
                  <c:v>75.599999999999994</c:v>
                </c:pt>
                <c:pt idx="83">
                  <c:v>74.7</c:v>
                </c:pt>
                <c:pt idx="84">
                  <c:v>75.2</c:v>
                </c:pt>
                <c:pt idx="85">
                  <c:v>75.3</c:v>
                </c:pt>
                <c:pt idx="86">
                  <c:v>74.599999999999994</c:v>
                </c:pt>
                <c:pt idx="87">
                  <c:v>74.900000000000006</c:v>
                </c:pt>
                <c:pt idx="88">
                  <c:v>75.2</c:v>
                </c:pt>
                <c:pt idx="89">
                  <c:v>75.150000000000006</c:v>
                </c:pt>
                <c:pt idx="90">
                  <c:v>74.900000000000006</c:v>
                </c:pt>
                <c:pt idx="91">
                  <c:v>75.599999999999994</c:v>
                </c:pt>
                <c:pt idx="92">
                  <c:v>75.3</c:v>
                </c:pt>
                <c:pt idx="93">
                  <c:v>75.150000000000006</c:v>
                </c:pt>
                <c:pt idx="94">
                  <c:v>75.2</c:v>
                </c:pt>
                <c:pt idx="95">
                  <c:v>74.900000000000006</c:v>
                </c:pt>
                <c:pt idx="96">
                  <c:v>74.75</c:v>
                </c:pt>
                <c:pt idx="97">
                  <c:v>75.900000000000006</c:v>
                </c:pt>
                <c:pt idx="98">
                  <c:v>75.7</c:v>
                </c:pt>
                <c:pt idx="99">
                  <c:v>75.3</c:v>
                </c:pt>
                <c:pt idx="100">
                  <c:v>75.400000000000006</c:v>
                </c:pt>
                <c:pt idx="101">
                  <c:v>75.400000000000006</c:v>
                </c:pt>
                <c:pt idx="102">
                  <c:v>75.400000000000006</c:v>
                </c:pt>
                <c:pt idx="103">
                  <c:v>75.7</c:v>
                </c:pt>
                <c:pt idx="104">
                  <c:v>74.400000000000006</c:v>
                </c:pt>
                <c:pt idx="105">
                  <c:v>74.900000000000006</c:v>
                </c:pt>
                <c:pt idx="106">
                  <c:v>75.2</c:v>
                </c:pt>
                <c:pt idx="107">
                  <c:v>74.05</c:v>
                </c:pt>
                <c:pt idx="108">
                  <c:v>74.599999999999994</c:v>
                </c:pt>
                <c:pt idx="109">
                  <c:v>75.2</c:v>
                </c:pt>
                <c:pt idx="110">
                  <c:v>73.95</c:v>
                </c:pt>
                <c:pt idx="111">
                  <c:v>74.3</c:v>
                </c:pt>
                <c:pt idx="112">
                  <c:v>74.3</c:v>
                </c:pt>
                <c:pt idx="113">
                  <c:v>75.099999999999994</c:v>
                </c:pt>
                <c:pt idx="114">
                  <c:v>75.2</c:v>
                </c:pt>
                <c:pt idx="115">
                  <c:v>75.099999999999994</c:v>
                </c:pt>
                <c:pt idx="116">
                  <c:v>75.400000000000006</c:v>
                </c:pt>
                <c:pt idx="117">
                  <c:v>74.2</c:v>
                </c:pt>
                <c:pt idx="118">
                  <c:v>74.099999999999994</c:v>
                </c:pt>
                <c:pt idx="119">
                  <c:v>74.900000000000006</c:v>
                </c:pt>
                <c:pt idx="120">
                  <c:v>74.099999999999994</c:v>
                </c:pt>
                <c:pt idx="121">
                  <c:v>75</c:v>
                </c:pt>
                <c:pt idx="122">
                  <c:v>75</c:v>
                </c:pt>
                <c:pt idx="123">
                  <c:v>74.400000000000006</c:v>
                </c:pt>
                <c:pt idx="124">
                  <c:v>74.300000000000011</c:v>
                </c:pt>
                <c:pt idx="125">
                  <c:v>74.099999999999994</c:v>
                </c:pt>
                <c:pt idx="126">
                  <c:v>74.099999999999994</c:v>
                </c:pt>
                <c:pt idx="127">
                  <c:v>74.099999999999994</c:v>
                </c:pt>
                <c:pt idx="128">
                  <c:v>74.099999999999994</c:v>
                </c:pt>
                <c:pt idx="129">
                  <c:v>74.099999999999994</c:v>
                </c:pt>
                <c:pt idx="130">
                  <c:v>74.099999999999994</c:v>
                </c:pt>
                <c:pt idx="131">
                  <c:v>73.449999999999989</c:v>
                </c:pt>
                <c:pt idx="132">
                  <c:v>73.7</c:v>
                </c:pt>
                <c:pt idx="133">
                  <c:v>73.7</c:v>
                </c:pt>
                <c:pt idx="134">
                  <c:v>74</c:v>
                </c:pt>
                <c:pt idx="135">
                  <c:v>74.7</c:v>
                </c:pt>
                <c:pt idx="136">
                  <c:v>74.7</c:v>
                </c:pt>
                <c:pt idx="137">
                  <c:v>74.099999999999994</c:v>
                </c:pt>
                <c:pt idx="138">
                  <c:v>73.55</c:v>
                </c:pt>
                <c:pt idx="139">
                  <c:v>74.099999999999994</c:v>
                </c:pt>
                <c:pt idx="140">
                  <c:v>74.099999999999994</c:v>
                </c:pt>
                <c:pt idx="141">
                  <c:v>73.5</c:v>
                </c:pt>
                <c:pt idx="142">
                  <c:v>73.5</c:v>
                </c:pt>
                <c:pt idx="143">
                  <c:v>73.5</c:v>
                </c:pt>
                <c:pt idx="144">
                  <c:v>73.5</c:v>
                </c:pt>
                <c:pt idx="145">
                  <c:v>73.5</c:v>
                </c:pt>
                <c:pt idx="146">
                  <c:v>72.45</c:v>
                </c:pt>
                <c:pt idx="147">
                  <c:v>72.2</c:v>
                </c:pt>
                <c:pt idx="148">
                  <c:v>73</c:v>
                </c:pt>
                <c:pt idx="149">
                  <c:v>74.2</c:v>
                </c:pt>
                <c:pt idx="150">
                  <c:v>74.099999999999994</c:v>
                </c:pt>
                <c:pt idx="151">
                  <c:v>72.400000000000006</c:v>
                </c:pt>
                <c:pt idx="152">
                  <c:v>73.5</c:v>
                </c:pt>
                <c:pt idx="153">
                  <c:v>72.900000000000006</c:v>
                </c:pt>
                <c:pt idx="154">
                  <c:v>73.400000000000006</c:v>
                </c:pt>
                <c:pt idx="155">
                  <c:v>73.400000000000006</c:v>
                </c:pt>
                <c:pt idx="156">
                  <c:v>73.8</c:v>
                </c:pt>
                <c:pt idx="157">
                  <c:v>73.5</c:v>
                </c:pt>
                <c:pt idx="158">
                  <c:v>74.099999999999994</c:v>
                </c:pt>
                <c:pt idx="159">
                  <c:v>73.55</c:v>
                </c:pt>
                <c:pt idx="160">
                  <c:v>73.8</c:v>
                </c:pt>
                <c:pt idx="161">
                  <c:v>73.599999999999994</c:v>
                </c:pt>
                <c:pt idx="162">
                  <c:v>73.599999999999994</c:v>
                </c:pt>
                <c:pt idx="163">
                  <c:v>73.599999999999994</c:v>
                </c:pt>
                <c:pt idx="164">
                  <c:v>73.900000000000006</c:v>
                </c:pt>
                <c:pt idx="165">
                  <c:v>74.099999999999994</c:v>
                </c:pt>
                <c:pt idx="166">
                  <c:v>73.849999999999994</c:v>
                </c:pt>
                <c:pt idx="167">
                  <c:v>73.599999999999994</c:v>
                </c:pt>
                <c:pt idx="168">
                  <c:v>73.650000000000006</c:v>
                </c:pt>
                <c:pt idx="169">
                  <c:v>73.5</c:v>
                </c:pt>
                <c:pt idx="170">
                  <c:v>74</c:v>
                </c:pt>
                <c:pt idx="171">
                  <c:v>73.400000000000006</c:v>
                </c:pt>
                <c:pt idx="172">
                  <c:v>73.099999999999994</c:v>
                </c:pt>
                <c:pt idx="173">
                  <c:v>74.2</c:v>
                </c:pt>
                <c:pt idx="174">
                  <c:v>74.3</c:v>
                </c:pt>
                <c:pt idx="175">
                  <c:v>73.599999999999994</c:v>
                </c:pt>
                <c:pt idx="176">
                  <c:v>73.8</c:v>
                </c:pt>
                <c:pt idx="177">
                  <c:v>74.3</c:v>
                </c:pt>
                <c:pt idx="178">
                  <c:v>73.8</c:v>
                </c:pt>
                <c:pt idx="179">
                  <c:v>74.3</c:v>
                </c:pt>
                <c:pt idx="180">
                  <c:v>74.05</c:v>
                </c:pt>
                <c:pt idx="181">
                  <c:v>73.3</c:v>
                </c:pt>
                <c:pt idx="182">
                  <c:v>73.7</c:v>
                </c:pt>
                <c:pt idx="183">
                  <c:v>74.2</c:v>
                </c:pt>
                <c:pt idx="184">
                  <c:v>73.900000000000006</c:v>
                </c:pt>
                <c:pt idx="185">
                  <c:v>74</c:v>
                </c:pt>
                <c:pt idx="186">
                  <c:v>74</c:v>
                </c:pt>
                <c:pt idx="187">
                  <c:v>74.2</c:v>
                </c:pt>
                <c:pt idx="188">
                  <c:v>74.599999999999994</c:v>
                </c:pt>
                <c:pt idx="189">
                  <c:v>74.3</c:v>
                </c:pt>
                <c:pt idx="190">
                  <c:v>74.2</c:v>
                </c:pt>
                <c:pt idx="191">
                  <c:v>74.150000000000006</c:v>
                </c:pt>
                <c:pt idx="192">
                  <c:v>74.900000000000006</c:v>
                </c:pt>
                <c:pt idx="193">
                  <c:v>74</c:v>
                </c:pt>
                <c:pt idx="194">
                  <c:v>75.3</c:v>
                </c:pt>
                <c:pt idx="195">
                  <c:v>74.05</c:v>
                </c:pt>
                <c:pt idx="196">
                  <c:v>73.2</c:v>
                </c:pt>
                <c:pt idx="197">
                  <c:v>74.3</c:v>
                </c:pt>
                <c:pt idx="198">
                  <c:v>73.5</c:v>
                </c:pt>
                <c:pt idx="199">
                  <c:v>74.2</c:v>
                </c:pt>
                <c:pt idx="200">
                  <c:v>75.099999999999994</c:v>
                </c:pt>
                <c:pt idx="201">
                  <c:v>74.099999999999994</c:v>
                </c:pt>
                <c:pt idx="202">
                  <c:v>73.7</c:v>
                </c:pt>
                <c:pt idx="203">
                  <c:v>74.099999999999994</c:v>
                </c:pt>
                <c:pt idx="204">
                  <c:v>73.7</c:v>
                </c:pt>
                <c:pt idx="205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A-4404-9189-7EB0A87C1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42472"/>
        <c:axId val="17171225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基データ!$E$1</c15:sqref>
                        </c15:formulaRef>
                      </c:ext>
                    </c:extLst>
                    <c:strCache>
                      <c:ptCount val="1"/>
                      <c:pt idx="0">
                        <c:v>差(Kg)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基データ!$A$2:$A$207</c15:sqref>
                        </c15:formulaRef>
                      </c:ext>
                    </c:extLst>
                    <c:numCache>
                      <c:formatCode>m"月"d"日"</c:formatCode>
                      <c:ptCount val="206"/>
                      <c:pt idx="0">
                        <c:v>42485</c:v>
                      </c:pt>
                      <c:pt idx="1">
                        <c:v>42486</c:v>
                      </c:pt>
                      <c:pt idx="2">
                        <c:v>42487</c:v>
                      </c:pt>
                      <c:pt idx="3">
                        <c:v>42488</c:v>
                      </c:pt>
                      <c:pt idx="4">
                        <c:v>42489</c:v>
                      </c:pt>
                      <c:pt idx="5">
                        <c:v>42490</c:v>
                      </c:pt>
                      <c:pt idx="6">
                        <c:v>42491</c:v>
                      </c:pt>
                      <c:pt idx="7">
                        <c:v>42492</c:v>
                      </c:pt>
                      <c:pt idx="8">
                        <c:v>42493</c:v>
                      </c:pt>
                      <c:pt idx="9">
                        <c:v>42494</c:v>
                      </c:pt>
                      <c:pt idx="10">
                        <c:v>42495</c:v>
                      </c:pt>
                      <c:pt idx="11">
                        <c:v>42496</c:v>
                      </c:pt>
                      <c:pt idx="12">
                        <c:v>42497</c:v>
                      </c:pt>
                      <c:pt idx="13">
                        <c:v>42498</c:v>
                      </c:pt>
                      <c:pt idx="14">
                        <c:v>42499</c:v>
                      </c:pt>
                      <c:pt idx="15">
                        <c:v>42500</c:v>
                      </c:pt>
                      <c:pt idx="16">
                        <c:v>42501</c:v>
                      </c:pt>
                      <c:pt idx="17">
                        <c:v>42502</c:v>
                      </c:pt>
                      <c:pt idx="18">
                        <c:v>42503</c:v>
                      </c:pt>
                      <c:pt idx="19">
                        <c:v>42504</c:v>
                      </c:pt>
                      <c:pt idx="20">
                        <c:v>42505</c:v>
                      </c:pt>
                      <c:pt idx="21">
                        <c:v>42506</c:v>
                      </c:pt>
                      <c:pt idx="22">
                        <c:v>42507</c:v>
                      </c:pt>
                      <c:pt idx="23">
                        <c:v>42508</c:v>
                      </c:pt>
                      <c:pt idx="24">
                        <c:v>42509</c:v>
                      </c:pt>
                      <c:pt idx="25">
                        <c:v>42510</c:v>
                      </c:pt>
                      <c:pt idx="26">
                        <c:v>42511</c:v>
                      </c:pt>
                      <c:pt idx="27">
                        <c:v>42512</c:v>
                      </c:pt>
                      <c:pt idx="28">
                        <c:v>42513</c:v>
                      </c:pt>
                      <c:pt idx="29">
                        <c:v>42514</c:v>
                      </c:pt>
                      <c:pt idx="30">
                        <c:v>42515</c:v>
                      </c:pt>
                      <c:pt idx="31">
                        <c:v>42516</c:v>
                      </c:pt>
                      <c:pt idx="32">
                        <c:v>42517</c:v>
                      </c:pt>
                      <c:pt idx="33">
                        <c:v>42518</c:v>
                      </c:pt>
                      <c:pt idx="34">
                        <c:v>42519</c:v>
                      </c:pt>
                      <c:pt idx="35">
                        <c:v>42520</c:v>
                      </c:pt>
                      <c:pt idx="36">
                        <c:v>42521</c:v>
                      </c:pt>
                      <c:pt idx="37">
                        <c:v>42522</c:v>
                      </c:pt>
                      <c:pt idx="38">
                        <c:v>42523</c:v>
                      </c:pt>
                      <c:pt idx="39">
                        <c:v>42524</c:v>
                      </c:pt>
                      <c:pt idx="40">
                        <c:v>42525</c:v>
                      </c:pt>
                      <c:pt idx="41">
                        <c:v>42526</c:v>
                      </c:pt>
                      <c:pt idx="42">
                        <c:v>42527</c:v>
                      </c:pt>
                      <c:pt idx="43">
                        <c:v>42528</c:v>
                      </c:pt>
                      <c:pt idx="44">
                        <c:v>42529</c:v>
                      </c:pt>
                      <c:pt idx="45">
                        <c:v>42530</c:v>
                      </c:pt>
                      <c:pt idx="46">
                        <c:v>42531</c:v>
                      </c:pt>
                      <c:pt idx="47">
                        <c:v>42532</c:v>
                      </c:pt>
                      <c:pt idx="48">
                        <c:v>42533</c:v>
                      </c:pt>
                      <c:pt idx="49">
                        <c:v>42534</c:v>
                      </c:pt>
                      <c:pt idx="50">
                        <c:v>42535</c:v>
                      </c:pt>
                      <c:pt idx="51">
                        <c:v>42536</c:v>
                      </c:pt>
                      <c:pt idx="52">
                        <c:v>42537</c:v>
                      </c:pt>
                      <c:pt idx="53">
                        <c:v>42538</c:v>
                      </c:pt>
                      <c:pt idx="54">
                        <c:v>42539</c:v>
                      </c:pt>
                      <c:pt idx="55">
                        <c:v>42540</c:v>
                      </c:pt>
                      <c:pt idx="56">
                        <c:v>42541</c:v>
                      </c:pt>
                      <c:pt idx="57">
                        <c:v>42542</c:v>
                      </c:pt>
                      <c:pt idx="58">
                        <c:v>42543</c:v>
                      </c:pt>
                      <c:pt idx="59">
                        <c:v>42544</c:v>
                      </c:pt>
                      <c:pt idx="60">
                        <c:v>42545</c:v>
                      </c:pt>
                      <c:pt idx="61">
                        <c:v>42546</c:v>
                      </c:pt>
                      <c:pt idx="62">
                        <c:v>42547</c:v>
                      </c:pt>
                      <c:pt idx="63">
                        <c:v>42548</c:v>
                      </c:pt>
                      <c:pt idx="64">
                        <c:v>42549</c:v>
                      </c:pt>
                      <c:pt idx="65">
                        <c:v>42550</c:v>
                      </c:pt>
                      <c:pt idx="66">
                        <c:v>42551</c:v>
                      </c:pt>
                      <c:pt idx="67">
                        <c:v>42552</c:v>
                      </c:pt>
                      <c:pt idx="68">
                        <c:v>42553</c:v>
                      </c:pt>
                      <c:pt idx="69">
                        <c:v>42554</c:v>
                      </c:pt>
                      <c:pt idx="70">
                        <c:v>42555</c:v>
                      </c:pt>
                      <c:pt idx="71">
                        <c:v>42556</c:v>
                      </c:pt>
                      <c:pt idx="72">
                        <c:v>42557</c:v>
                      </c:pt>
                      <c:pt idx="73">
                        <c:v>42558</c:v>
                      </c:pt>
                      <c:pt idx="74">
                        <c:v>42559</c:v>
                      </c:pt>
                      <c:pt idx="75">
                        <c:v>42560</c:v>
                      </c:pt>
                      <c:pt idx="76">
                        <c:v>42561</c:v>
                      </c:pt>
                      <c:pt idx="77">
                        <c:v>42562</c:v>
                      </c:pt>
                      <c:pt idx="78">
                        <c:v>42563</c:v>
                      </c:pt>
                      <c:pt idx="79">
                        <c:v>42564</c:v>
                      </c:pt>
                      <c:pt idx="80">
                        <c:v>42565</c:v>
                      </c:pt>
                      <c:pt idx="81">
                        <c:v>42566</c:v>
                      </c:pt>
                      <c:pt idx="82">
                        <c:v>42567</c:v>
                      </c:pt>
                      <c:pt idx="83">
                        <c:v>42568</c:v>
                      </c:pt>
                      <c:pt idx="84">
                        <c:v>42569</c:v>
                      </c:pt>
                      <c:pt idx="85">
                        <c:v>42570</c:v>
                      </c:pt>
                      <c:pt idx="86">
                        <c:v>42571</c:v>
                      </c:pt>
                      <c:pt idx="87">
                        <c:v>42572</c:v>
                      </c:pt>
                      <c:pt idx="88">
                        <c:v>42573</c:v>
                      </c:pt>
                      <c:pt idx="89">
                        <c:v>42574</c:v>
                      </c:pt>
                      <c:pt idx="90">
                        <c:v>42575</c:v>
                      </c:pt>
                      <c:pt idx="91">
                        <c:v>42576</c:v>
                      </c:pt>
                      <c:pt idx="92">
                        <c:v>42577</c:v>
                      </c:pt>
                      <c:pt idx="93">
                        <c:v>42578</c:v>
                      </c:pt>
                      <c:pt idx="94">
                        <c:v>42579</c:v>
                      </c:pt>
                      <c:pt idx="95">
                        <c:v>42580</c:v>
                      </c:pt>
                      <c:pt idx="96">
                        <c:v>42581</c:v>
                      </c:pt>
                      <c:pt idx="97">
                        <c:v>42582</c:v>
                      </c:pt>
                      <c:pt idx="98">
                        <c:v>42583</c:v>
                      </c:pt>
                      <c:pt idx="99">
                        <c:v>42584</c:v>
                      </c:pt>
                      <c:pt idx="100">
                        <c:v>42585</c:v>
                      </c:pt>
                      <c:pt idx="101">
                        <c:v>42586</c:v>
                      </c:pt>
                      <c:pt idx="102">
                        <c:v>42587</c:v>
                      </c:pt>
                      <c:pt idx="103">
                        <c:v>42588</c:v>
                      </c:pt>
                      <c:pt idx="104">
                        <c:v>42589</c:v>
                      </c:pt>
                      <c:pt idx="105">
                        <c:v>42590</c:v>
                      </c:pt>
                      <c:pt idx="106">
                        <c:v>42591</c:v>
                      </c:pt>
                      <c:pt idx="107">
                        <c:v>42592</c:v>
                      </c:pt>
                      <c:pt idx="108">
                        <c:v>42593</c:v>
                      </c:pt>
                      <c:pt idx="109">
                        <c:v>42594</c:v>
                      </c:pt>
                      <c:pt idx="110">
                        <c:v>42595</c:v>
                      </c:pt>
                      <c:pt idx="111">
                        <c:v>42596</c:v>
                      </c:pt>
                      <c:pt idx="112">
                        <c:v>42597</c:v>
                      </c:pt>
                      <c:pt idx="113">
                        <c:v>42598</c:v>
                      </c:pt>
                      <c:pt idx="114">
                        <c:v>42599</c:v>
                      </c:pt>
                      <c:pt idx="115">
                        <c:v>42600</c:v>
                      </c:pt>
                      <c:pt idx="116">
                        <c:v>42601</c:v>
                      </c:pt>
                      <c:pt idx="117">
                        <c:v>42602</c:v>
                      </c:pt>
                      <c:pt idx="118">
                        <c:v>42603</c:v>
                      </c:pt>
                      <c:pt idx="119">
                        <c:v>42604</c:v>
                      </c:pt>
                      <c:pt idx="120">
                        <c:v>42605</c:v>
                      </c:pt>
                      <c:pt idx="121">
                        <c:v>42606</c:v>
                      </c:pt>
                      <c:pt idx="122">
                        <c:v>42607</c:v>
                      </c:pt>
                      <c:pt idx="123">
                        <c:v>42608</c:v>
                      </c:pt>
                      <c:pt idx="124">
                        <c:v>42609</c:v>
                      </c:pt>
                      <c:pt idx="125">
                        <c:v>42610</c:v>
                      </c:pt>
                      <c:pt idx="126">
                        <c:v>42611</c:v>
                      </c:pt>
                      <c:pt idx="127">
                        <c:v>42612</c:v>
                      </c:pt>
                      <c:pt idx="128">
                        <c:v>42613</c:v>
                      </c:pt>
                      <c:pt idx="129">
                        <c:v>42614</c:v>
                      </c:pt>
                      <c:pt idx="130">
                        <c:v>42615</c:v>
                      </c:pt>
                      <c:pt idx="131">
                        <c:v>42616</c:v>
                      </c:pt>
                      <c:pt idx="132">
                        <c:v>42617</c:v>
                      </c:pt>
                      <c:pt idx="133">
                        <c:v>42618</c:v>
                      </c:pt>
                      <c:pt idx="134">
                        <c:v>42619</c:v>
                      </c:pt>
                      <c:pt idx="135">
                        <c:v>42620</c:v>
                      </c:pt>
                      <c:pt idx="136">
                        <c:v>42621</c:v>
                      </c:pt>
                      <c:pt idx="137">
                        <c:v>42622</c:v>
                      </c:pt>
                      <c:pt idx="138">
                        <c:v>42623</c:v>
                      </c:pt>
                      <c:pt idx="139">
                        <c:v>42624</c:v>
                      </c:pt>
                      <c:pt idx="140">
                        <c:v>42625</c:v>
                      </c:pt>
                      <c:pt idx="141">
                        <c:v>42626</c:v>
                      </c:pt>
                      <c:pt idx="142">
                        <c:v>42627</c:v>
                      </c:pt>
                      <c:pt idx="143">
                        <c:v>42628</c:v>
                      </c:pt>
                      <c:pt idx="144">
                        <c:v>42629</c:v>
                      </c:pt>
                      <c:pt idx="145">
                        <c:v>42630</c:v>
                      </c:pt>
                      <c:pt idx="146">
                        <c:v>42631</c:v>
                      </c:pt>
                      <c:pt idx="147">
                        <c:v>42632</c:v>
                      </c:pt>
                      <c:pt idx="148">
                        <c:v>42633</c:v>
                      </c:pt>
                      <c:pt idx="149">
                        <c:v>42634</c:v>
                      </c:pt>
                      <c:pt idx="150">
                        <c:v>42635</c:v>
                      </c:pt>
                      <c:pt idx="151">
                        <c:v>42636</c:v>
                      </c:pt>
                      <c:pt idx="152">
                        <c:v>42637</c:v>
                      </c:pt>
                      <c:pt idx="153">
                        <c:v>42638</c:v>
                      </c:pt>
                      <c:pt idx="154">
                        <c:v>42639</c:v>
                      </c:pt>
                      <c:pt idx="155">
                        <c:v>42640</c:v>
                      </c:pt>
                      <c:pt idx="156">
                        <c:v>42641</c:v>
                      </c:pt>
                      <c:pt idx="157">
                        <c:v>42642</c:v>
                      </c:pt>
                      <c:pt idx="158">
                        <c:v>42643</c:v>
                      </c:pt>
                      <c:pt idx="159">
                        <c:v>42644</c:v>
                      </c:pt>
                      <c:pt idx="160">
                        <c:v>42645</c:v>
                      </c:pt>
                      <c:pt idx="161">
                        <c:v>42646</c:v>
                      </c:pt>
                      <c:pt idx="162">
                        <c:v>42647</c:v>
                      </c:pt>
                      <c:pt idx="163">
                        <c:v>42648</c:v>
                      </c:pt>
                      <c:pt idx="164">
                        <c:v>42649</c:v>
                      </c:pt>
                      <c:pt idx="165">
                        <c:v>42650</c:v>
                      </c:pt>
                      <c:pt idx="166">
                        <c:v>42651</c:v>
                      </c:pt>
                      <c:pt idx="167">
                        <c:v>42652</c:v>
                      </c:pt>
                      <c:pt idx="168">
                        <c:v>42653</c:v>
                      </c:pt>
                      <c:pt idx="169">
                        <c:v>42654</c:v>
                      </c:pt>
                      <c:pt idx="170">
                        <c:v>42655</c:v>
                      </c:pt>
                      <c:pt idx="171">
                        <c:v>42656</c:v>
                      </c:pt>
                      <c:pt idx="172">
                        <c:v>42657</c:v>
                      </c:pt>
                      <c:pt idx="173">
                        <c:v>42658</c:v>
                      </c:pt>
                      <c:pt idx="174">
                        <c:v>42659</c:v>
                      </c:pt>
                      <c:pt idx="175">
                        <c:v>42660</c:v>
                      </c:pt>
                      <c:pt idx="176">
                        <c:v>42661</c:v>
                      </c:pt>
                      <c:pt idx="177">
                        <c:v>42662</c:v>
                      </c:pt>
                      <c:pt idx="178">
                        <c:v>42663</c:v>
                      </c:pt>
                      <c:pt idx="179">
                        <c:v>42664</c:v>
                      </c:pt>
                      <c:pt idx="180">
                        <c:v>42665</c:v>
                      </c:pt>
                      <c:pt idx="181">
                        <c:v>42666</c:v>
                      </c:pt>
                      <c:pt idx="182">
                        <c:v>42667</c:v>
                      </c:pt>
                      <c:pt idx="183">
                        <c:v>42668</c:v>
                      </c:pt>
                      <c:pt idx="184">
                        <c:v>42669</c:v>
                      </c:pt>
                      <c:pt idx="185">
                        <c:v>42670</c:v>
                      </c:pt>
                      <c:pt idx="186">
                        <c:v>42671</c:v>
                      </c:pt>
                      <c:pt idx="187">
                        <c:v>42672</c:v>
                      </c:pt>
                      <c:pt idx="188">
                        <c:v>42673</c:v>
                      </c:pt>
                      <c:pt idx="189">
                        <c:v>42674</c:v>
                      </c:pt>
                      <c:pt idx="190">
                        <c:v>42675</c:v>
                      </c:pt>
                      <c:pt idx="191">
                        <c:v>42676</c:v>
                      </c:pt>
                      <c:pt idx="192">
                        <c:v>42677</c:v>
                      </c:pt>
                      <c:pt idx="193">
                        <c:v>42678</c:v>
                      </c:pt>
                      <c:pt idx="194">
                        <c:v>42679</c:v>
                      </c:pt>
                      <c:pt idx="195">
                        <c:v>42680</c:v>
                      </c:pt>
                      <c:pt idx="196">
                        <c:v>42681</c:v>
                      </c:pt>
                      <c:pt idx="197">
                        <c:v>42682</c:v>
                      </c:pt>
                      <c:pt idx="198">
                        <c:v>42683</c:v>
                      </c:pt>
                      <c:pt idx="199">
                        <c:v>42684</c:v>
                      </c:pt>
                      <c:pt idx="200">
                        <c:v>42685</c:v>
                      </c:pt>
                      <c:pt idx="201">
                        <c:v>42686</c:v>
                      </c:pt>
                      <c:pt idx="202">
                        <c:v>42687</c:v>
                      </c:pt>
                      <c:pt idx="203">
                        <c:v>42688</c:v>
                      </c:pt>
                      <c:pt idx="204">
                        <c:v>42689</c:v>
                      </c:pt>
                      <c:pt idx="205">
                        <c:v>42690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基データ!$E$2:$E$207</c15:sqref>
                        </c15:formulaRef>
                      </c:ext>
                    </c:extLst>
                    <c:numCache>
                      <c:formatCode>General</c:formatCode>
                      <c:ptCount val="20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0.59999999999999432</c:v>
                      </c:pt>
                      <c:pt idx="3">
                        <c:v>0</c:v>
                      </c:pt>
                      <c:pt idx="4">
                        <c:v>-1</c:v>
                      </c:pt>
                      <c:pt idx="5">
                        <c:v>-1</c:v>
                      </c:pt>
                      <c:pt idx="6">
                        <c:v>-1</c:v>
                      </c:pt>
                      <c:pt idx="7">
                        <c:v>-0.80000000000001137</c:v>
                      </c:pt>
                      <c:pt idx="8">
                        <c:v>-1.6000000000000085</c:v>
                      </c:pt>
                      <c:pt idx="9">
                        <c:v>-1.6000000000000085</c:v>
                      </c:pt>
                      <c:pt idx="10">
                        <c:v>-1.6000000000000085</c:v>
                      </c:pt>
                      <c:pt idx="11">
                        <c:v>-1.6000000000000085</c:v>
                      </c:pt>
                      <c:pt idx="12">
                        <c:v>-1.1000000000000085</c:v>
                      </c:pt>
                      <c:pt idx="13">
                        <c:v>-1.8000000000000114</c:v>
                      </c:pt>
                      <c:pt idx="14">
                        <c:v>-1.8000000000000114</c:v>
                      </c:pt>
                      <c:pt idx="15">
                        <c:v>-1.8000000000000114</c:v>
                      </c:pt>
                      <c:pt idx="16">
                        <c:v>-1.8000000000000114</c:v>
                      </c:pt>
                      <c:pt idx="17">
                        <c:v>-2.6000000000000085</c:v>
                      </c:pt>
                      <c:pt idx="18">
                        <c:v>-2.6000000000000085</c:v>
                      </c:pt>
                      <c:pt idx="19">
                        <c:v>-2.6000000000000085</c:v>
                      </c:pt>
                      <c:pt idx="20">
                        <c:v>-2.6000000000000085</c:v>
                      </c:pt>
                      <c:pt idx="21">
                        <c:v>-3.1000000000000085</c:v>
                      </c:pt>
                      <c:pt idx="22">
                        <c:v>-3.1000000000000085</c:v>
                      </c:pt>
                      <c:pt idx="23">
                        <c:v>-1.9000000000000057</c:v>
                      </c:pt>
                      <c:pt idx="24">
                        <c:v>-3.1000000000000085</c:v>
                      </c:pt>
                      <c:pt idx="25">
                        <c:v>-3.1000000000000085</c:v>
                      </c:pt>
                      <c:pt idx="26">
                        <c:v>-3.1000000000000085</c:v>
                      </c:pt>
                      <c:pt idx="27">
                        <c:v>-3.4000000000000057</c:v>
                      </c:pt>
                      <c:pt idx="28">
                        <c:v>-3.6000000000000085</c:v>
                      </c:pt>
                      <c:pt idx="29">
                        <c:v>-3.2000000000000028</c:v>
                      </c:pt>
                      <c:pt idx="30">
                        <c:v>-4</c:v>
                      </c:pt>
                      <c:pt idx="31">
                        <c:v>-3.5</c:v>
                      </c:pt>
                      <c:pt idx="32">
                        <c:v>-4.2000000000000028</c:v>
                      </c:pt>
                      <c:pt idx="33">
                        <c:v>-3.7000000000000028</c:v>
                      </c:pt>
                      <c:pt idx="34">
                        <c:v>-3.7000000000000028</c:v>
                      </c:pt>
                      <c:pt idx="35">
                        <c:v>-4</c:v>
                      </c:pt>
                      <c:pt idx="36">
                        <c:v>-4</c:v>
                      </c:pt>
                      <c:pt idx="37">
                        <c:v>-3.2000000000000028</c:v>
                      </c:pt>
                      <c:pt idx="38">
                        <c:v>-4</c:v>
                      </c:pt>
                      <c:pt idx="39">
                        <c:v>-4.1000000000000085</c:v>
                      </c:pt>
                      <c:pt idx="40">
                        <c:v>-4</c:v>
                      </c:pt>
                      <c:pt idx="41">
                        <c:v>-3.6000000000000085</c:v>
                      </c:pt>
                      <c:pt idx="42">
                        <c:v>-3.6000000000000085</c:v>
                      </c:pt>
                      <c:pt idx="43">
                        <c:v>-3.2000000000000028</c:v>
                      </c:pt>
                      <c:pt idx="44">
                        <c:v>-3.9000000000000057</c:v>
                      </c:pt>
                      <c:pt idx="45">
                        <c:v>-3.9000000000000057</c:v>
                      </c:pt>
                      <c:pt idx="46">
                        <c:v>-4.5</c:v>
                      </c:pt>
                      <c:pt idx="47">
                        <c:v>-4</c:v>
                      </c:pt>
                      <c:pt idx="48">
                        <c:v>-4.3000000000000114</c:v>
                      </c:pt>
                      <c:pt idx="49">
                        <c:v>-4.3000000000000114</c:v>
                      </c:pt>
                      <c:pt idx="50">
                        <c:v>-3.9000000000000057</c:v>
                      </c:pt>
                      <c:pt idx="51">
                        <c:v>-3.4000000000000057</c:v>
                      </c:pt>
                      <c:pt idx="52">
                        <c:v>-4.8000000000000114</c:v>
                      </c:pt>
                      <c:pt idx="53">
                        <c:v>-4.8000000000000114</c:v>
                      </c:pt>
                      <c:pt idx="54">
                        <c:v>-4.3000000000000114</c:v>
                      </c:pt>
                      <c:pt idx="55">
                        <c:v>-4.9000000000000057</c:v>
                      </c:pt>
                      <c:pt idx="56">
                        <c:v>-5.4000000000000057</c:v>
                      </c:pt>
                      <c:pt idx="57">
                        <c:v>-5.4000000000000057</c:v>
                      </c:pt>
                      <c:pt idx="58">
                        <c:v>-5.4000000000000057</c:v>
                      </c:pt>
                      <c:pt idx="59">
                        <c:v>-5.7000000000000028</c:v>
                      </c:pt>
                      <c:pt idx="60">
                        <c:v>-5.1000000000000085</c:v>
                      </c:pt>
                      <c:pt idx="61">
                        <c:v>-5.5</c:v>
                      </c:pt>
                      <c:pt idx="62">
                        <c:v>-5.5</c:v>
                      </c:pt>
                      <c:pt idx="63">
                        <c:v>-5.5</c:v>
                      </c:pt>
                      <c:pt idx="64">
                        <c:v>-5.5</c:v>
                      </c:pt>
                      <c:pt idx="65">
                        <c:v>-5.8000000000000114</c:v>
                      </c:pt>
                      <c:pt idx="66">
                        <c:v>-5.8000000000000114</c:v>
                      </c:pt>
                      <c:pt idx="67">
                        <c:v>-5.6000000000000085</c:v>
                      </c:pt>
                      <c:pt idx="68">
                        <c:v>-4.9000000000000057</c:v>
                      </c:pt>
                      <c:pt idx="69">
                        <c:v>-6.2000000000000028</c:v>
                      </c:pt>
                      <c:pt idx="70">
                        <c:v>-6.5</c:v>
                      </c:pt>
                      <c:pt idx="71">
                        <c:v>-6</c:v>
                      </c:pt>
                      <c:pt idx="72">
                        <c:v>-6</c:v>
                      </c:pt>
                      <c:pt idx="73">
                        <c:v>-6.3000000000000114</c:v>
                      </c:pt>
                      <c:pt idx="74">
                        <c:v>-6</c:v>
                      </c:pt>
                      <c:pt idx="75">
                        <c:v>-6</c:v>
                      </c:pt>
                      <c:pt idx="76">
                        <c:v>-6.8000000000000114</c:v>
                      </c:pt>
                      <c:pt idx="77">
                        <c:v>-6.3000000000000114</c:v>
                      </c:pt>
                      <c:pt idx="78">
                        <c:v>-6.3000000000000114</c:v>
                      </c:pt>
                      <c:pt idx="79">
                        <c:v>-6.3000000000000114</c:v>
                      </c:pt>
                      <c:pt idx="80">
                        <c:v>-6.9000000000000057</c:v>
                      </c:pt>
                      <c:pt idx="81">
                        <c:v>-6.4000000000000057</c:v>
                      </c:pt>
                      <c:pt idx="82">
                        <c:v>-6.4000000000000057</c:v>
                      </c:pt>
                      <c:pt idx="83">
                        <c:v>-7.7000000000000028</c:v>
                      </c:pt>
                      <c:pt idx="84">
                        <c:v>-7.2000000000000028</c:v>
                      </c:pt>
                      <c:pt idx="85">
                        <c:v>-7.1000000000000085</c:v>
                      </c:pt>
                      <c:pt idx="86">
                        <c:v>-7.5</c:v>
                      </c:pt>
                      <c:pt idx="87">
                        <c:v>-7.5</c:v>
                      </c:pt>
                      <c:pt idx="88">
                        <c:v>-7.2000000000000028</c:v>
                      </c:pt>
                      <c:pt idx="89">
                        <c:v>-6.8000000000000114</c:v>
                      </c:pt>
                      <c:pt idx="90">
                        <c:v>-7.5</c:v>
                      </c:pt>
                      <c:pt idx="91">
                        <c:v>-6.8000000000000114</c:v>
                      </c:pt>
                      <c:pt idx="92">
                        <c:v>-7.1000000000000085</c:v>
                      </c:pt>
                      <c:pt idx="93">
                        <c:v>-7.1000000000000085</c:v>
                      </c:pt>
                      <c:pt idx="94">
                        <c:v>-7.2000000000000028</c:v>
                      </c:pt>
                      <c:pt idx="95">
                        <c:v>-7.5</c:v>
                      </c:pt>
                      <c:pt idx="96">
                        <c:v>-6.8000000000000114</c:v>
                      </c:pt>
                      <c:pt idx="97">
                        <c:v>-6.5</c:v>
                      </c:pt>
                      <c:pt idx="98">
                        <c:v>-6.7000000000000028</c:v>
                      </c:pt>
                      <c:pt idx="99">
                        <c:v>-7.1000000000000085</c:v>
                      </c:pt>
                      <c:pt idx="100">
                        <c:v>-7</c:v>
                      </c:pt>
                      <c:pt idx="101">
                        <c:v>-7</c:v>
                      </c:pt>
                      <c:pt idx="102">
                        <c:v>-7</c:v>
                      </c:pt>
                      <c:pt idx="103">
                        <c:v>-6.7000000000000028</c:v>
                      </c:pt>
                      <c:pt idx="104">
                        <c:v>-7.2000000000000028</c:v>
                      </c:pt>
                      <c:pt idx="105">
                        <c:v>-7.5</c:v>
                      </c:pt>
                      <c:pt idx="106">
                        <c:v>-7.2000000000000028</c:v>
                      </c:pt>
                      <c:pt idx="107">
                        <c:v>-7.8000000000000114</c:v>
                      </c:pt>
                      <c:pt idx="108">
                        <c:v>-7.8000000000000114</c:v>
                      </c:pt>
                      <c:pt idx="109">
                        <c:v>-7.2000000000000028</c:v>
                      </c:pt>
                      <c:pt idx="110">
                        <c:v>-7.7000000000000028</c:v>
                      </c:pt>
                      <c:pt idx="111">
                        <c:v>-8.1000000000000085</c:v>
                      </c:pt>
                      <c:pt idx="112">
                        <c:v>-8.1000000000000085</c:v>
                      </c:pt>
                      <c:pt idx="113">
                        <c:v>-7.3000000000000114</c:v>
                      </c:pt>
                      <c:pt idx="114">
                        <c:v>-7.2000000000000028</c:v>
                      </c:pt>
                      <c:pt idx="115">
                        <c:v>-7.3000000000000114</c:v>
                      </c:pt>
                      <c:pt idx="116">
                        <c:v>-7</c:v>
                      </c:pt>
                      <c:pt idx="117">
                        <c:v>-7.7000000000000028</c:v>
                      </c:pt>
                      <c:pt idx="118">
                        <c:v>-8.3000000000000114</c:v>
                      </c:pt>
                      <c:pt idx="119">
                        <c:v>-7.5</c:v>
                      </c:pt>
                      <c:pt idx="120">
                        <c:v>-8.3000000000000114</c:v>
                      </c:pt>
                      <c:pt idx="121">
                        <c:v>-7.4000000000000057</c:v>
                      </c:pt>
                      <c:pt idx="122">
                        <c:v>-7.4000000000000057</c:v>
                      </c:pt>
                      <c:pt idx="123">
                        <c:v>-8</c:v>
                      </c:pt>
                      <c:pt idx="124">
                        <c:v>-7.7000000000000028</c:v>
                      </c:pt>
                      <c:pt idx="125">
                        <c:v>-8.3000000000000114</c:v>
                      </c:pt>
                      <c:pt idx="126">
                        <c:v>-8.3000000000000114</c:v>
                      </c:pt>
                      <c:pt idx="127">
                        <c:v>-8.3000000000000114</c:v>
                      </c:pt>
                      <c:pt idx="128">
                        <c:v>-8.3000000000000114</c:v>
                      </c:pt>
                      <c:pt idx="129">
                        <c:v>-8.3000000000000114</c:v>
                      </c:pt>
                      <c:pt idx="130">
                        <c:v>-8.3000000000000114</c:v>
                      </c:pt>
                      <c:pt idx="131">
                        <c:v>-8.3000000000000114</c:v>
                      </c:pt>
                      <c:pt idx="132">
                        <c:v>-8.7000000000000028</c:v>
                      </c:pt>
                      <c:pt idx="133">
                        <c:v>-8.7000000000000028</c:v>
                      </c:pt>
                      <c:pt idx="134">
                        <c:v>-8.4000000000000057</c:v>
                      </c:pt>
                      <c:pt idx="135">
                        <c:v>-7.7000000000000028</c:v>
                      </c:pt>
                      <c:pt idx="136">
                        <c:v>-7.7000000000000028</c:v>
                      </c:pt>
                      <c:pt idx="137">
                        <c:v>-8.3000000000000114</c:v>
                      </c:pt>
                      <c:pt idx="138">
                        <c:v>-8.3000000000000114</c:v>
                      </c:pt>
                      <c:pt idx="139">
                        <c:v>-8.3000000000000114</c:v>
                      </c:pt>
                      <c:pt idx="140">
                        <c:v>-8.3000000000000114</c:v>
                      </c:pt>
                      <c:pt idx="141">
                        <c:v>-8.9000000000000057</c:v>
                      </c:pt>
                      <c:pt idx="142">
                        <c:v>-8.9000000000000057</c:v>
                      </c:pt>
                      <c:pt idx="143">
                        <c:v>-8.9000000000000057</c:v>
                      </c:pt>
                      <c:pt idx="144">
                        <c:v>-8.9000000000000057</c:v>
                      </c:pt>
                      <c:pt idx="145">
                        <c:v>-8.9000000000000057</c:v>
                      </c:pt>
                      <c:pt idx="146">
                        <c:v>-9.7000000000000028</c:v>
                      </c:pt>
                      <c:pt idx="147">
                        <c:v>-10.200000000000003</c:v>
                      </c:pt>
                      <c:pt idx="148">
                        <c:v>-9.4000000000000057</c:v>
                      </c:pt>
                      <c:pt idx="149">
                        <c:v>-8.2000000000000028</c:v>
                      </c:pt>
                      <c:pt idx="150">
                        <c:v>-8.1000000000000085</c:v>
                      </c:pt>
                      <c:pt idx="151">
                        <c:v>-10</c:v>
                      </c:pt>
                      <c:pt idx="152">
                        <c:v>-8.9000000000000057</c:v>
                      </c:pt>
                      <c:pt idx="153">
                        <c:v>-9.5</c:v>
                      </c:pt>
                      <c:pt idx="154">
                        <c:v>-9</c:v>
                      </c:pt>
                      <c:pt idx="155">
                        <c:v>-9</c:v>
                      </c:pt>
                      <c:pt idx="156">
                        <c:v>-8.6000000000000085</c:v>
                      </c:pt>
                      <c:pt idx="157">
                        <c:v>-8.9000000000000057</c:v>
                      </c:pt>
                      <c:pt idx="158">
                        <c:v>-8.3000000000000114</c:v>
                      </c:pt>
                      <c:pt idx="159">
                        <c:v>-8.9000000000000057</c:v>
                      </c:pt>
                      <c:pt idx="160">
                        <c:v>-8.6000000000000085</c:v>
                      </c:pt>
                      <c:pt idx="161">
                        <c:v>-8.8000000000000114</c:v>
                      </c:pt>
                      <c:pt idx="162">
                        <c:v>-8.8000000000000114</c:v>
                      </c:pt>
                      <c:pt idx="163">
                        <c:v>-8.8000000000000114</c:v>
                      </c:pt>
                      <c:pt idx="164">
                        <c:v>-8.5</c:v>
                      </c:pt>
                      <c:pt idx="165">
                        <c:v>-8.3000000000000114</c:v>
                      </c:pt>
                      <c:pt idx="166">
                        <c:v>-8.3000000000000114</c:v>
                      </c:pt>
                      <c:pt idx="167">
                        <c:v>-8.8000000000000114</c:v>
                      </c:pt>
                      <c:pt idx="168">
                        <c:v>-9</c:v>
                      </c:pt>
                      <c:pt idx="169">
                        <c:v>-8.9000000000000057</c:v>
                      </c:pt>
                      <c:pt idx="170">
                        <c:v>-8.4000000000000057</c:v>
                      </c:pt>
                      <c:pt idx="171">
                        <c:v>-9</c:v>
                      </c:pt>
                      <c:pt idx="172">
                        <c:v>-9.3000000000000114</c:v>
                      </c:pt>
                      <c:pt idx="173">
                        <c:v>-8</c:v>
                      </c:pt>
                      <c:pt idx="174">
                        <c:v>-8.1000000000000085</c:v>
                      </c:pt>
                      <c:pt idx="175">
                        <c:v>-8.8000000000000114</c:v>
                      </c:pt>
                      <c:pt idx="176">
                        <c:v>-8.6000000000000085</c:v>
                      </c:pt>
                      <c:pt idx="177">
                        <c:v>-8.1000000000000085</c:v>
                      </c:pt>
                      <c:pt idx="178">
                        <c:v>-8.6000000000000085</c:v>
                      </c:pt>
                      <c:pt idx="179">
                        <c:v>-8.1000000000000085</c:v>
                      </c:pt>
                      <c:pt idx="180">
                        <c:v>-7.9000000000000057</c:v>
                      </c:pt>
                      <c:pt idx="181">
                        <c:v>-9.1000000000000085</c:v>
                      </c:pt>
                      <c:pt idx="182">
                        <c:v>-8.7000000000000028</c:v>
                      </c:pt>
                      <c:pt idx="183">
                        <c:v>-8.2000000000000028</c:v>
                      </c:pt>
                      <c:pt idx="184">
                        <c:v>-8.5</c:v>
                      </c:pt>
                      <c:pt idx="185">
                        <c:v>-8.4000000000000057</c:v>
                      </c:pt>
                      <c:pt idx="186">
                        <c:v>-8.4000000000000057</c:v>
                      </c:pt>
                      <c:pt idx="187">
                        <c:v>-8.2000000000000028</c:v>
                      </c:pt>
                      <c:pt idx="188">
                        <c:v>-7.8000000000000114</c:v>
                      </c:pt>
                      <c:pt idx="189">
                        <c:v>-8.1000000000000085</c:v>
                      </c:pt>
                      <c:pt idx="190">
                        <c:v>-8.2000000000000028</c:v>
                      </c:pt>
                      <c:pt idx="191">
                        <c:v>-8.2000000000000028</c:v>
                      </c:pt>
                      <c:pt idx="192">
                        <c:v>-7.5</c:v>
                      </c:pt>
                      <c:pt idx="193">
                        <c:v>-8.4000000000000057</c:v>
                      </c:pt>
                      <c:pt idx="194">
                        <c:v>-7.1000000000000085</c:v>
                      </c:pt>
                      <c:pt idx="195">
                        <c:v>-8.1000000000000085</c:v>
                      </c:pt>
                      <c:pt idx="196">
                        <c:v>-9.2000000000000028</c:v>
                      </c:pt>
                      <c:pt idx="197">
                        <c:v>-8.1000000000000085</c:v>
                      </c:pt>
                      <c:pt idx="198">
                        <c:v>-8.5</c:v>
                      </c:pt>
                      <c:pt idx="199">
                        <c:v>-8.2000000000000028</c:v>
                      </c:pt>
                      <c:pt idx="200">
                        <c:v>-7.3000000000000114</c:v>
                      </c:pt>
                      <c:pt idx="201">
                        <c:v>-8.3000000000000114</c:v>
                      </c:pt>
                      <c:pt idx="202">
                        <c:v>-8.7000000000000028</c:v>
                      </c:pt>
                      <c:pt idx="203">
                        <c:v>-8.3000000000000114</c:v>
                      </c:pt>
                      <c:pt idx="204">
                        <c:v>-8.7000000000000028</c:v>
                      </c:pt>
                      <c:pt idx="205">
                        <c:v>-7.7000000000000028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D87-4B4F-845A-9D238FACAC3F}"/>
                  </c:ext>
                </c:extLst>
              </c15:ser>
            </c15:filteredLineSeries>
          </c:ext>
        </c:extLst>
      </c:lineChart>
      <c:dateAx>
        <c:axId val="170542472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2256"/>
        <c:crosses val="autoZero"/>
        <c:auto val="1"/>
        <c:lblOffset val="100"/>
        <c:baseTimeUnit val="days"/>
        <c:majorUnit val="1"/>
        <c:majorTimeUnit val="days"/>
      </c:dateAx>
      <c:valAx>
        <c:axId val="171712256"/>
        <c:scaling>
          <c:orientation val="minMax"/>
          <c:max val="83"/>
          <c:min val="7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54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-3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u="sng"/>
              <a:t>８月２８日～９月１９日（▲１．９ｋｇ）</a:t>
            </a:r>
            <a:r>
              <a:rPr lang="ja-JP" altLang="ja-JP" sz="1600" b="0" i="0" u="sng" strike="noStrike" baseline="0">
                <a:effectLst/>
              </a:rPr>
              <a:t>（平均▲４</a:t>
            </a:r>
            <a:r>
              <a:rPr lang="ja-JP" altLang="en-US" sz="1600" b="0" i="0" u="sng" strike="noStrike" baseline="0">
                <a:effectLst/>
              </a:rPr>
              <a:t>０</a:t>
            </a:r>
            <a:r>
              <a:rPr lang="en-US" altLang="ja-JP" sz="1600" b="0" i="0" u="sng" strike="noStrike" baseline="0">
                <a:effectLst/>
              </a:rPr>
              <a:t>.</a:t>
            </a:r>
            <a:r>
              <a:rPr lang="ja-JP" altLang="en-US" sz="1600" b="0" i="0" u="sng" strike="noStrike" baseline="0">
                <a:effectLst/>
              </a:rPr>
              <a:t>５</a:t>
            </a:r>
            <a:r>
              <a:rPr lang="en-US" altLang="ja-JP" sz="1600" b="0" i="0" u="sng" strike="noStrike" baseline="0">
                <a:effectLst/>
              </a:rPr>
              <a:t>kcal/</a:t>
            </a:r>
            <a:r>
              <a:rPr lang="ja-JP" altLang="ja-JP" sz="1600" b="0" i="0" u="sng" strike="noStrike" baseline="0">
                <a:effectLst/>
              </a:rPr>
              <a:t>日）</a:t>
            </a:r>
            <a:endParaRPr lang="en-US" altLang="ja-JP" sz="1600" u="sng"/>
          </a:p>
          <a:p>
            <a:pPr algn="ctr">
              <a:defRPr sz="1600"/>
            </a:pPr>
            <a:r>
              <a:rPr lang="ja-JP" altLang="en-US" sz="1600" u="sng"/>
              <a:t>／４月２５日～（▲１０．２ｋｇ）</a:t>
            </a:r>
            <a:r>
              <a:rPr lang="ja-JP" altLang="ja-JP" sz="1600" b="0" i="0" u="sng" strike="noStrike" baseline="0">
                <a:effectLst/>
              </a:rPr>
              <a:t>（平均▲</a:t>
            </a:r>
            <a:r>
              <a:rPr lang="ja-JP" altLang="en-US" sz="1600" b="0" i="0" u="sng" strike="noStrike" baseline="0">
                <a:effectLst/>
              </a:rPr>
              <a:t>２０８</a:t>
            </a:r>
            <a:r>
              <a:rPr lang="en-US" altLang="ja-JP" sz="1600" b="0" i="0" u="sng" strike="noStrike" baseline="0">
                <a:effectLst/>
              </a:rPr>
              <a:t>.</a:t>
            </a:r>
            <a:r>
              <a:rPr lang="ja-JP" altLang="en-US" sz="1600" b="0" i="0" u="sng" strike="noStrike" baseline="0">
                <a:effectLst/>
              </a:rPr>
              <a:t>１</a:t>
            </a:r>
            <a:r>
              <a:rPr lang="en-US" altLang="ja-JP" sz="1600" b="0" i="0" u="sng" strike="noStrike" baseline="0">
                <a:effectLst/>
              </a:rPr>
              <a:t>kcal/</a:t>
            </a:r>
            <a:r>
              <a:rPr lang="ja-JP" altLang="ja-JP" sz="1600" b="0" i="0" u="sng" strike="noStrike" baseline="0">
                <a:effectLst/>
              </a:rPr>
              <a:t>日）</a:t>
            </a:r>
            <a:endParaRPr lang="en-US" altLang="ja-JP" sz="1600" u="sng"/>
          </a:p>
        </c:rich>
      </c:tx>
      <c:layout>
        <c:manualLayout>
          <c:xMode val="edge"/>
          <c:yMode val="edge"/>
          <c:x val="0.22125369813249432"/>
          <c:y val="2.9324722972571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'(前々日と前日)のカロリー差合算と当日朝体重増減関係'!$B$1</c:f>
              <c:strCache>
                <c:ptCount val="1"/>
                <c:pt idx="0">
                  <c:v>左軸：前々日と前日の摂取と摂取目標カロリー差合算(kcal)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'(前々日と前日)のカロリー差合算と当日朝体重増減関係'!$A$127:$A$149</c:f>
              <c:numCache>
                <c:formatCode>m"月"d"日";@</c:formatCode>
                <c:ptCount val="23"/>
                <c:pt idx="0">
                  <c:v>42610</c:v>
                </c:pt>
                <c:pt idx="1">
                  <c:v>42611</c:v>
                </c:pt>
                <c:pt idx="2">
                  <c:v>42612</c:v>
                </c:pt>
                <c:pt idx="3">
                  <c:v>42613</c:v>
                </c:pt>
                <c:pt idx="4">
                  <c:v>42614</c:v>
                </c:pt>
                <c:pt idx="5">
                  <c:v>42615</c:v>
                </c:pt>
                <c:pt idx="6">
                  <c:v>42616</c:v>
                </c:pt>
                <c:pt idx="7">
                  <c:v>42617</c:v>
                </c:pt>
                <c:pt idx="8">
                  <c:v>42618</c:v>
                </c:pt>
                <c:pt idx="9">
                  <c:v>42619</c:v>
                </c:pt>
                <c:pt idx="10">
                  <c:v>42620</c:v>
                </c:pt>
                <c:pt idx="11">
                  <c:v>42621</c:v>
                </c:pt>
                <c:pt idx="12">
                  <c:v>42622</c:v>
                </c:pt>
                <c:pt idx="13">
                  <c:v>42623</c:v>
                </c:pt>
                <c:pt idx="14">
                  <c:v>42624</c:v>
                </c:pt>
                <c:pt idx="15">
                  <c:v>42625</c:v>
                </c:pt>
                <c:pt idx="16">
                  <c:v>42626</c:v>
                </c:pt>
                <c:pt idx="17">
                  <c:v>42627</c:v>
                </c:pt>
                <c:pt idx="18">
                  <c:v>42628</c:v>
                </c:pt>
                <c:pt idx="19">
                  <c:v>42629</c:v>
                </c:pt>
                <c:pt idx="20">
                  <c:v>42630</c:v>
                </c:pt>
                <c:pt idx="21">
                  <c:v>42631</c:v>
                </c:pt>
                <c:pt idx="22">
                  <c:v>42632</c:v>
                </c:pt>
              </c:numCache>
            </c:numRef>
          </c:cat>
          <c:val>
            <c:numRef>
              <c:f>'(前々日と前日)のカロリー差合算と当日朝体重増減関係'!$B$127:$B$149</c:f>
              <c:numCache>
                <c:formatCode>0.0_ </c:formatCode>
                <c:ptCount val="23"/>
                <c:pt idx="0">
                  <c:v>-372.25879917184284</c:v>
                </c:pt>
                <c:pt idx="1">
                  <c:v>-893.2712215320912</c:v>
                </c:pt>
                <c:pt idx="2">
                  <c:v>-364.29606625258839</c:v>
                </c:pt>
                <c:pt idx="3">
                  <c:v>401.70393374741161</c:v>
                </c:pt>
                <c:pt idx="4">
                  <c:v>70.703933747411611</c:v>
                </c:pt>
                <c:pt idx="5">
                  <c:v>154.70393374741161</c:v>
                </c:pt>
                <c:pt idx="6">
                  <c:v>631.70393374741161</c:v>
                </c:pt>
                <c:pt idx="7">
                  <c:v>-254.29606625258839</c:v>
                </c:pt>
                <c:pt idx="8">
                  <c:v>-396.31262939958606</c:v>
                </c:pt>
                <c:pt idx="9">
                  <c:v>-124.32919254658373</c:v>
                </c:pt>
                <c:pt idx="10">
                  <c:v>586.68322981366509</c:v>
                </c:pt>
                <c:pt idx="11">
                  <c:v>518.72463768115995</c:v>
                </c:pt>
                <c:pt idx="12">
                  <c:v>-671.24637681159402</c:v>
                </c:pt>
                <c:pt idx="13">
                  <c:v>-834.2712215320912</c:v>
                </c:pt>
                <c:pt idx="14">
                  <c:v>-864.29606625258839</c:v>
                </c:pt>
                <c:pt idx="15">
                  <c:v>-649.29606625258839</c:v>
                </c:pt>
                <c:pt idx="16">
                  <c:v>-583.29606625258839</c:v>
                </c:pt>
                <c:pt idx="17">
                  <c:v>-915.32091097308557</c:v>
                </c:pt>
                <c:pt idx="18">
                  <c:v>-565.34575569358276</c:v>
                </c:pt>
                <c:pt idx="19">
                  <c:v>563.65424430641724</c:v>
                </c:pt>
                <c:pt idx="20">
                  <c:v>360.65424430641724</c:v>
                </c:pt>
                <c:pt idx="21">
                  <c:v>381.65424430641724</c:v>
                </c:pt>
                <c:pt idx="22">
                  <c:v>349.6211180124219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7-4C7F-BD19-82BEB263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1709120"/>
        <c:axId val="171709512"/>
      </c:barChart>
      <c:lineChart>
        <c:grouping val="standard"/>
        <c:varyColors val="0"/>
        <c:ser>
          <c:idx val="2"/>
          <c:order val="2"/>
          <c:tx>
            <c:strRef>
              <c:f>'(前々日と前日)のカロリー差合算と当日朝体重増減関係'!$D$1</c:f>
              <c:strCache>
                <c:ptCount val="1"/>
                <c:pt idx="0">
                  <c:v>１日の目標運動量330(kcal)に対する前々日と前日の合算運動量差(kcal)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'(前々日と前日)のカロリー差合算と当日朝体重増減関係'!$A$127:$A$149</c:f>
              <c:numCache>
                <c:formatCode>m"月"d"日";@</c:formatCode>
                <c:ptCount val="23"/>
                <c:pt idx="0">
                  <c:v>42610</c:v>
                </c:pt>
                <c:pt idx="1">
                  <c:v>42611</c:v>
                </c:pt>
                <c:pt idx="2">
                  <c:v>42612</c:v>
                </c:pt>
                <c:pt idx="3">
                  <c:v>42613</c:v>
                </c:pt>
                <c:pt idx="4">
                  <c:v>42614</c:v>
                </c:pt>
                <c:pt idx="5">
                  <c:v>42615</c:v>
                </c:pt>
                <c:pt idx="6">
                  <c:v>42616</c:v>
                </c:pt>
                <c:pt idx="7">
                  <c:v>42617</c:v>
                </c:pt>
                <c:pt idx="8">
                  <c:v>42618</c:v>
                </c:pt>
                <c:pt idx="9">
                  <c:v>42619</c:v>
                </c:pt>
                <c:pt idx="10">
                  <c:v>42620</c:v>
                </c:pt>
                <c:pt idx="11">
                  <c:v>42621</c:v>
                </c:pt>
                <c:pt idx="12">
                  <c:v>42622</c:v>
                </c:pt>
                <c:pt idx="13">
                  <c:v>42623</c:v>
                </c:pt>
                <c:pt idx="14">
                  <c:v>42624</c:v>
                </c:pt>
                <c:pt idx="15">
                  <c:v>42625</c:v>
                </c:pt>
                <c:pt idx="16">
                  <c:v>42626</c:v>
                </c:pt>
                <c:pt idx="17">
                  <c:v>42627</c:v>
                </c:pt>
                <c:pt idx="18">
                  <c:v>42628</c:v>
                </c:pt>
                <c:pt idx="19">
                  <c:v>42629</c:v>
                </c:pt>
                <c:pt idx="20">
                  <c:v>42630</c:v>
                </c:pt>
                <c:pt idx="21">
                  <c:v>42631</c:v>
                </c:pt>
                <c:pt idx="22">
                  <c:v>42632</c:v>
                </c:pt>
              </c:numCache>
            </c:numRef>
          </c:cat>
          <c:val>
            <c:numRef>
              <c:f>'(前々日と前日)のカロリー差合算と当日朝体重増減関係'!$D$127:$D$149</c:f>
              <c:numCache>
                <c:formatCode>General</c:formatCode>
                <c:ptCount val="23"/>
                <c:pt idx="0">
                  <c:v>136</c:v>
                </c:pt>
                <c:pt idx="1">
                  <c:v>373</c:v>
                </c:pt>
                <c:pt idx="2">
                  <c:v>-7</c:v>
                </c:pt>
                <c:pt idx="3">
                  <c:v>-112</c:v>
                </c:pt>
                <c:pt idx="4">
                  <c:v>-65</c:v>
                </c:pt>
                <c:pt idx="5">
                  <c:v>-185</c:v>
                </c:pt>
                <c:pt idx="6">
                  <c:v>-250</c:v>
                </c:pt>
                <c:pt idx="7">
                  <c:v>252</c:v>
                </c:pt>
                <c:pt idx="8">
                  <c:v>426</c:v>
                </c:pt>
                <c:pt idx="9">
                  <c:v>110</c:v>
                </c:pt>
                <c:pt idx="10">
                  <c:v>-19</c:v>
                </c:pt>
                <c:pt idx="11">
                  <c:v>-54</c:v>
                </c:pt>
                <c:pt idx="12">
                  <c:v>-1</c:v>
                </c:pt>
                <c:pt idx="13">
                  <c:v>58</c:v>
                </c:pt>
                <c:pt idx="14">
                  <c:v>427</c:v>
                </c:pt>
                <c:pt idx="15">
                  <c:v>219</c:v>
                </c:pt>
                <c:pt idx="16">
                  <c:v>-192</c:v>
                </c:pt>
                <c:pt idx="17">
                  <c:v>-145</c:v>
                </c:pt>
                <c:pt idx="18">
                  <c:v>-113</c:v>
                </c:pt>
                <c:pt idx="19">
                  <c:v>-90</c:v>
                </c:pt>
                <c:pt idx="20">
                  <c:v>-54</c:v>
                </c:pt>
                <c:pt idx="21">
                  <c:v>-79</c:v>
                </c:pt>
                <c:pt idx="2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F-4156-9888-A53D00CC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9120"/>
        <c:axId val="171709512"/>
      </c:lineChart>
      <c:lineChart>
        <c:grouping val="standard"/>
        <c:varyColors val="0"/>
        <c:ser>
          <c:idx val="1"/>
          <c:order val="1"/>
          <c:tx>
            <c:strRef>
              <c:f>'(前々日と前日)のカロリー差合算と当日朝体重増減関係'!$C$1</c:f>
              <c:strCache>
                <c:ptCount val="1"/>
                <c:pt idx="0">
                  <c:v>右軸：体重増減(kg)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'(前々日と前日)のカロリー差合算と当日朝体重増減関係'!$A$127:$A$149</c:f>
              <c:numCache>
                <c:formatCode>m"月"d"日";@</c:formatCode>
                <c:ptCount val="23"/>
                <c:pt idx="0">
                  <c:v>42610</c:v>
                </c:pt>
                <c:pt idx="1">
                  <c:v>42611</c:v>
                </c:pt>
                <c:pt idx="2">
                  <c:v>42612</c:v>
                </c:pt>
                <c:pt idx="3">
                  <c:v>42613</c:v>
                </c:pt>
                <c:pt idx="4">
                  <c:v>42614</c:v>
                </c:pt>
                <c:pt idx="5">
                  <c:v>42615</c:v>
                </c:pt>
                <c:pt idx="6">
                  <c:v>42616</c:v>
                </c:pt>
                <c:pt idx="7">
                  <c:v>42617</c:v>
                </c:pt>
                <c:pt idx="8">
                  <c:v>42618</c:v>
                </c:pt>
                <c:pt idx="9">
                  <c:v>42619</c:v>
                </c:pt>
                <c:pt idx="10">
                  <c:v>42620</c:v>
                </c:pt>
                <c:pt idx="11">
                  <c:v>42621</c:v>
                </c:pt>
                <c:pt idx="12">
                  <c:v>42622</c:v>
                </c:pt>
                <c:pt idx="13">
                  <c:v>42623</c:v>
                </c:pt>
                <c:pt idx="14">
                  <c:v>42624</c:v>
                </c:pt>
                <c:pt idx="15">
                  <c:v>42625</c:v>
                </c:pt>
                <c:pt idx="16">
                  <c:v>42626</c:v>
                </c:pt>
                <c:pt idx="17">
                  <c:v>42627</c:v>
                </c:pt>
                <c:pt idx="18">
                  <c:v>42628</c:v>
                </c:pt>
                <c:pt idx="19">
                  <c:v>42629</c:v>
                </c:pt>
                <c:pt idx="20">
                  <c:v>42630</c:v>
                </c:pt>
                <c:pt idx="21">
                  <c:v>42631</c:v>
                </c:pt>
                <c:pt idx="22">
                  <c:v>42632</c:v>
                </c:pt>
              </c:numCache>
            </c:numRef>
          </c:cat>
          <c:val>
            <c:numRef>
              <c:f>'(前々日と前日)のカロリー差合算と当日朝体重増減関係'!$C$127:$C$149</c:f>
              <c:numCache>
                <c:formatCode>General</c:formatCode>
                <c:ptCount val="23"/>
                <c:pt idx="0">
                  <c:v>-0.60000000000000853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-0.39999999999999147</c:v>
                </c:pt>
                <c:pt idx="8">
                  <c:v>0</c:v>
                </c:pt>
                <c:pt idx="9">
                  <c:v>0.29999999999999716</c:v>
                </c:pt>
                <c:pt idx="10">
                  <c:v>0.70000000000000284</c:v>
                </c:pt>
                <c:pt idx="11">
                  <c:v>0</c:v>
                </c:pt>
                <c:pt idx="12">
                  <c:v>-0.60000000000000853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-0.59999999999999432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-0.79999999999999716</c:v>
                </c:pt>
                <c:pt idx="22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7-4C7F-BD19-82BEB263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0688"/>
        <c:axId val="171709904"/>
      </c:lineChart>
      <c:dateAx>
        <c:axId val="171709120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512"/>
        <c:crosses val="autoZero"/>
        <c:auto val="1"/>
        <c:lblOffset val="100"/>
        <c:baseTimeUnit val="days"/>
      </c:dateAx>
      <c:valAx>
        <c:axId val="171709512"/>
        <c:scaling>
          <c:orientation val="minMax"/>
          <c:max val="15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120"/>
        <c:crosses val="autoZero"/>
        <c:crossBetween val="between"/>
      </c:valAx>
      <c:valAx>
        <c:axId val="171709904"/>
        <c:scaling>
          <c:orientation val="minMax"/>
          <c:max val="1.5"/>
          <c:min val="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0688"/>
        <c:crosses val="max"/>
        <c:crossBetween val="between"/>
      </c:valAx>
      <c:dateAx>
        <c:axId val="171710688"/>
        <c:scaling>
          <c:orientation val="minMax"/>
        </c:scaling>
        <c:delete val="1"/>
        <c:axPos val="b"/>
        <c:numFmt formatCode="m&quot;月&quot;d&quot;日&quot;;@" sourceLinked="1"/>
        <c:majorTickMark val="out"/>
        <c:minorTickMark val="none"/>
        <c:tickLblPos val="nextTo"/>
        <c:crossAx val="17170990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-3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u="sng"/>
              <a:t>９月１９日～１１月１６日（＋２．５ｋｇ）</a:t>
            </a:r>
            <a:r>
              <a:rPr lang="ja-JP" altLang="ja-JP" sz="1600" b="0" i="0" u="sng" strike="noStrike" baseline="0">
                <a:effectLst/>
              </a:rPr>
              <a:t>（平均</a:t>
            </a:r>
            <a:r>
              <a:rPr lang="ja-JP" altLang="en-US" sz="1600" b="0" i="0" u="sng" strike="noStrike" baseline="0">
                <a:effectLst/>
              </a:rPr>
              <a:t>＋１２７</a:t>
            </a:r>
            <a:r>
              <a:rPr lang="en-US" altLang="ja-JP" sz="1600" b="0" i="0" u="sng" strike="noStrike" baseline="0">
                <a:effectLst/>
              </a:rPr>
              <a:t>.</a:t>
            </a:r>
            <a:r>
              <a:rPr lang="ja-JP" altLang="en-US" sz="1600" b="0" i="0" u="sng" strike="noStrike" baseline="0">
                <a:effectLst/>
              </a:rPr>
              <a:t>４</a:t>
            </a:r>
            <a:r>
              <a:rPr lang="en-US" altLang="ja-JP" sz="1600" b="0" i="0" u="sng" strike="noStrike" baseline="0">
                <a:effectLst/>
              </a:rPr>
              <a:t>kcal/</a:t>
            </a:r>
            <a:r>
              <a:rPr lang="ja-JP" altLang="ja-JP" sz="1600" b="0" i="0" u="sng" strike="noStrike" baseline="0">
                <a:effectLst/>
              </a:rPr>
              <a:t>日）</a:t>
            </a:r>
            <a:r>
              <a:rPr lang="ja-JP" altLang="en-US" sz="1600" u="sng"/>
              <a:t>／４月２５日～（▲７．７ｋｇ）</a:t>
            </a:r>
            <a:r>
              <a:rPr lang="ja-JP" altLang="ja-JP" sz="1600" b="0" i="0" u="sng" strike="noStrike" baseline="0">
                <a:effectLst/>
              </a:rPr>
              <a:t>（平均▲</a:t>
            </a:r>
            <a:r>
              <a:rPr lang="ja-JP" altLang="en-US" sz="1600" b="0" i="0" u="sng" strike="noStrike" baseline="0">
                <a:effectLst/>
              </a:rPr>
              <a:t>１１６</a:t>
            </a:r>
            <a:r>
              <a:rPr lang="en-US" altLang="ja-JP" sz="1600" b="0" i="0" u="sng" strike="noStrike" baseline="0">
                <a:effectLst/>
              </a:rPr>
              <a:t>.</a:t>
            </a:r>
            <a:r>
              <a:rPr lang="ja-JP" altLang="en-US" sz="1600" b="0" i="0" u="sng" strike="noStrike" baseline="0">
                <a:effectLst/>
              </a:rPr>
              <a:t>７</a:t>
            </a:r>
            <a:r>
              <a:rPr lang="en-US" altLang="ja-JP" sz="1600" b="0" i="0" u="sng" strike="noStrike" baseline="0">
                <a:effectLst/>
              </a:rPr>
              <a:t>kcal/</a:t>
            </a:r>
            <a:r>
              <a:rPr lang="ja-JP" altLang="ja-JP" sz="1600" b="0" i="0" u="sng" strike="noStrike" baseline="0">
                <a:effectLst/>
              </a:rPr>
              <a:t>日）</a:t>
            </a:r>
            <a:endParaRPr lang="en-US" altLang="ja-JP" sz="1600" u="sng"/>
          </a:p>
        </c:rich>
      </c:tx>
      <c:layout>
        <c:manualLayout>
          <c:xMode val="edge"/>
          <c:yMode val="edge"/>
          <c:x val="0.19462161568093966"/>
          <c:y val="3.3313322266789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'(前々日と前日)のカロリー差合算と当日朝体重増減関係'!$B$1</c:f>
              <c:strCache>
                <c:ptCount val="1"/>
                <c:pt idx="0">
                  <c:v>左軸：前々日と前日の摂取と摂取目標カロリー差合算(kcal)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'(前々日と前日)のカロリー差合算と当日朝体重増減関係'!$A$149:$A$207</c:f>
              <c:numCache>
                <c:formatCode>m"月"d"日";@</c:formatCode>
                <c:ptCount val="59"/>
                <c:pt idx="0">
                  <c:v>42632</c:v>
                </c:pt>
                <c:pt idx="1">
                  <c:v>42633</c:v>
                </c:pt>
                <c:pt idx="2">
                  <c:v>42634</c:v>
                </c:pt>
                <c:pt idx="3">
                  <c:v>42635</c:v>
                </c:pt>
                <c:pt idx="4">
                  <c:v>42636</c:v>
                </c:pt>
                <c:pt idx="5">
                  <c:v>42637</c:v>
                </c:pt>
                <c:pt idx="6">
                  <c:v>42638</c:v>
                </c:pt>
                <c:pt idx="7">
                  <c:v>42639</c:v>
                </c:pt>
                <c:pt idx="8">
                  <c:v>42640</c:v>
                </c:pt>
                <c:pt idx="9">
                  <c:v>42641</c:v>
                </c:pt>
                <c:pt idx="10">
                  <c:v>42642</c:v>
                </c:pt>
                <c:pt idx="11">
                  <c:v>42643</c:v>
                </c:pt>
                <c:pt idx="12">
                  <c:v>42644</c:v>
                </c:pt>
                <c:pt idx="13">
                  <c:v>42645</c:v>
                </c:pt>
                <c:pt idx="14">
                  <c:v>42646</c:v>
                </c:pt>
                <c:pt idx="15">
                  <c:v>42647</c:v>
                </c:pt>
                <c:pt idx="16">
                  <c:v>42648</c:v>
                </c:pt>
                <c:pt idx="17">
                  <c:v>42649</c:v>
                </c:pt>
                <c:pt idx="18">
                  <c:v>42650</c:v>
                </c:pt>
                <c:pt idx="19">
                  <c:v>42651</c:v>
                </c:pt>
                <c:pt idx="20">
                  <c:v>42652</c:v>
                </c:pt>
                <c:pt idx="21">
                  <c:v>42653</c:v>
                </c:pt>
                <c:pt idx="22">
                  <c:v>42654</c:v>
                </c:pt>
                <c:pt idx="23">
                  <c:v>42655</c:v>
                </c:pt>
                <c:pt idx="24">
                  <c:v>42656</c:v>
                </c:pt>
                <c:pt idx="25">
                  <c:v>42657</c:v>
                </c:pt>
                <c:pt idx="26">
                  <c:v>42658</c:v>
                </c:pt>
                <c:pt idx="27">
                  <c:v>42659</c:v>
                </c:pt>
                <c:pt idx="28">
                  <c:v>42660</c:v>
                </c:pt>
                <c:pt idx="29">
                  <c:v>42661</c:v>
                </c:pt>
                <c:pt idx="30">
                  <c:v>42662</c:v>
                </c:pt>
                <c:pt idx="31">
                  <c:v>42663</c:v>
                </c:pt>
                <c:pt idx="32">
                  <c:v>42664</c:v>
                </c:pt>
                <c:pt idx="33">
                  <c:v>42665</c:v>
                </c:pt>
                <c:pt idx="34">
                  <c:v>42666</c:v>
                </c:pt>
                <c:pt idx="35">
                  <c:v>42667</c:v>
                </c:pt>
                <c:pt idx="36">
                  <c:v>42668</c:v>
                </c:pt>
                <c:pt idx="37">
                  <c:v>42669</c:v>
                </c:pt>
                <c:pt idx="38">
                  <c:v>42670</c:v>
                </c:pt>
                <c:pt idx="39">
                  <c:v>42671</c:v>
                </c:pt>
                <c:pt idx="40">
                  <c:v>42672</c:v>
                </c:pt>
                <c:pt idx="41">
                  <c:v>42673</c:v>
                </c:pt>
                <c:pt idx="42">
                  <c:v>42674</c:v>
                </c:pt>
                <c:pt idx="43">
                  <c:v>42675</c:v>
                </c:pt>
                <c:pt idx="44">
                  <c:v>42676</c:v>
                </c:pt>
                <c:pt idx="45">
                  <c:v>42677</c:v>
                </c:pt>
                <c:pt idx="46">
                  <c:v>42678</c:v>
                </c:pt>
                <c:pt idx="47">
                  <c:v>42679</c:v>
                </c:pt>
                <c:pt idx="48">
                  <c:v>42680</c:v>
                </c:pt>
                <c:pt idx="49">
                  <c:v>42681</c:v>
                </c:pt>
                <c:pt idx="50">
                  <c:v>42682</c:v>
                </c:pt>
                <c:pt idx="51">
                  <c:v>42683</c:v>
                </c:pt>
                <c:pt idx="52">
                  <c:v>42684</c:v>
                </c:pt>
                <c:pt idx="53">
                  <c:v>42685</c:v>
                </c:pt>
                <c:pt idx="54">
                  <c:v>42686</c:v>
                </c:pt>
                <c:pt idx="55">
                  <c:v>42687</c:v>
                </c:pt>
                <c:pt idx="56">
                  <c:v>42688</c:v>
                </c:pt>
                <c:pt idx="57">
                  <c:v>42689</c:v>
                </c:pt>
                <c:pt idx="58">
                  <c:v>42690</c:v>
                </c:pt>
              </c:numCache>
            </c:numRef>
          </c:cat>
          <c:val>
            <c:numRef>
              <c:f>'(前々日と前日)のカロリー差合算と当日朝体重増減関係'!$B$149:$B$207</c:f>
              <c:numCache>
                <c:formatCode>0.0_ </c:formatCode>
                <c:ptCount val="59"/>
                <c:pt idx="0">
                  <c:v>349.6211180124219</c:v>
                </c:pt>
                <c:pt idx="1">
                  <c:v>266.56728778467914</c:v>
                </c:pt>
                <c:pt idx="2">
                  <c:v>812.57971014492796</c:v>
                </c:pt>
                <c:pt idx="3">
                  <c:v>351.66252587991767</c:v>
                </c:pt>
                <c:pt idx="4">
                  <c:v>-396.28364389233957</c:v>
                </c:pt>
                <c:pt idx="5">
                  <c:v>-26.35817805383067</c:v>
                </c:pt>
                <c:pt idx="6">
                  <c:v>1251.6086956521731</c:v>
                </c:pt>
                <c:pt idx="7">
                  <c:v>751.62939958592051</c:v>
                </c:pt>
                <c:pt idx="8">
                  <c:v>320.62525879917121</c:v>
                </c:pt>
                <c:pt idx="9">
                  <c:v>367.64596273291863</c:v>
                </c:pt>
                <c:pt idx="10">
                  <c:v>-106.33747412008324</c:v>
                </c:pt>
                <c:pt idx="11">
                  <c:v>305.66666666666606</c:v>
                </c:pt>
                <c:pt idx="12">
                  <c:v>1723.6790890269144</c:v>
                </c:pt>
                <c:pt idx="13">
                  <c:v>556.67908902691443</c:v>
                </c:pt>
                <c:pt idx="14">
                  <c:v>-656.33333333333371</c:v>
                </c:pt>
                <c:pt idx="15">
                  <c:v>1094.6708074534165</c:v>
                </c:pt>
                <c:pt idx="16">
                  <c:v>1946.6625258799177</c:v>
                </c:pt>
                <c:pt idx="17">
                  <c:v>1571.6625258799177</c:v>
                </c:pt>
                <c:pt idx="18">
                  <c:v>411.67494824016558</c:v>
                </c:pt>
                <c:pt idx="19">
                  <c:v>1869.6956521739125</c:v>
                </c:pt>
                <c:pt idx="20">
                  <c:v>1488.7039337474116</c:v>
                </c:pt>
                <c:pt idx="21">
                  <c:v>-773.31677018633536</c:v>
                </c:pt>
                <c:pt idx="22">
                  <c:v>-708.34575569358185</c:v>
                </c:pt>
                <c:pt idx="23">
                  <c:v>-551.34989648033206</c:v>
                </c:pt>
                <c:pt idx="24">
                  <c:v>512.67494824016558</c:v>
                </c:pt>
                <c:pt idx="25">
                  <c:v>376.67080745341627</c:v>
                </c:pt>
                <c:pt idx="26">
                  <c:v>-168.36645962732928</c:v>
                </c:pt>
                <c:pt idx="27">
                  <c:v>-591.32505175983442</c:v>
                </c:pt>
                <c:pt idx="28">
                  <c:v>-1401.275362318841</c:v>
                </c:pt>
                <c:pt idx="29">
                  <c:v>-971.3084886128363</c:v>
                </c:pt>
                <c:pt idx="30">
                  <c:v>-27.329192546583727</c:v>
                </c:pt>
                <c:pt idx="31">
                  <c:v>4.6997929606623075</c:v>
                </c:pt>
                <c:pt idx="32">
                  <c:v>590.69979296066231</c:v>
                </c:pt>
                <c:pt idx="33">
                  <c:v>1332.6997929606623</c:v>
                </c:pt>
                <c:pt idx="34">
                  <c:v>-65.271221532091658</c:v>
                </c:pt>
                <c:pt idx="35">
                  <c:v>-43.312629399586513</c:v>
                </c:pt>
                <c:pt idx="36">
                  <c:v>407.65424430641815</c:v>
                </c:pt>
                <c:pt idx="37">
                  <c:v>495.6915113871637</c:v>
                </c:pt>
                <c:pt idx="38">
                  <c:v>1030.6997929606623</c:v>
                </c:pt>
                <c:pt idx="39">
                  <c:v>568.6915113871637</c:v>
                </c:pt>
                <c:pt idx="40">
                  <c:v>167.69565217391391</c:v>
                </c:pt>
                <c:pt idx="41">
                  <c:v>-544.29606625258748</c:v>
                </c:pt>
                <c:pt idx="42">
                  <c:v>-270.27122153209075</c:v>
                </c:pt>
                <c:pt idx="43">
                  <c:v>94.732919254658555</c:v>
                </c:pt>
                <c:pt idx="44">
                  <c:v>-69.283643892339569</c:v>
                </c:pt>
                <c:pt idx="45">
                  <c:v>118.71221532091113</c:v>
                </c:pt>
                <c:pt idx="46">
                  <c:v>-361.25879917184284</c:v>
                </c:pt>
                <c:pt idx="47">
                  <c:v>384.73291925465855</c:v>
                </c:pt>
                <c:pt idx="48">
                  <c:v>820.74948240165668</c:v>
                </c:pt>
                <c:pt idx="49">
                  <c:v>-558.23809523809541</c:v>
                </c:pt>
                <c:pt idx="50">
                  <c:v>-572.32505175983442</c:v>
                </c:pt>
                <c:pt idx="51">
                  <c:v>-304.32505175983442</c:v>
                </c:pt>
                <c:pt idx="52">
                  <c:v>80.703933747411611</c:v>
                </c:pt>
                <c:pt idx="53">
                  <c:v>777.69979296066231</c:v>
                </c:pt>
                <c:pt idx="54">
                  <c:v>466.74948240165668</c:v>
                </c:pt>
                <c:pt idx="55">
                  <c:v>-1104.2546583850931</c:v>
                </c:pt>
                <c:pt idx="56">
                  <c:v>-1046.3126293995861</c:v>
                </c:pt>
                <c:pt idx="57">
                  <c:v>212.68737060041394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1-4701-9683-D078AAF8B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1709120"/>
        <c:axId val="171709512"/>
      </c:barChart>
      <c:lineChart>
        <c:grouping val="standard"/>
        <c:varyColors val="0"/>
        <c:ser>
          <c:idx val="2"/>
          <c:order val="2"/>
          <c:tx>
            <c:strRef>
              <c:f>'(前々日と前日)のカロリー差合算と当日朝体重増減関係'!$D$1</c:f>
              <c:strCache>
                <c:ptCount val="1"/>
                <c:pt idx="0">
                  <c:v>１日の目標運動量330(kcal)に対する前々日と前日の合算運動量差(kcal)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'(前々日と前日)のカロリー差合算と当日朝体重増減関係'!$A$149:$A$207</c:f>
              <c:numCache>
                <c:formatCode>m"月"d"日";@</c:formatCode>
                <c:ptCount val="59"/>
                <c:pt idx="0">
                  <c:v>42632</c:v>
                </c:pt>
                <c:pt idx="1">
                  <c:v>42633</c:v>
                </c:pt>
                <c:pt idx="2">
                  <c:v>42634</c:v>
                </c:pt>
                <c:pt idx="3">
                  <c:v>42635</c:v>
                </c:pt>
                <c:pt idx="4">
                  <c:v>42636</c:v>
                </c:pt>
                <c:pt idx="5">
                  <c:v>42637</c:v>
                </c:pt>
                <c:pt idx="6">
                  <c:v>42638</c:v>
                </c:pt>
                <c:pt idx="7">
                  <c:v>42639</c:v>
                </c:pt>
                <c:pt idx="8">
                  <c:v>42640</c:v>
                </c:pt>
                <c:pt idx="9">
                  <c:v>42641</c:v>
                </c:pt>
                <c:pt idx="10">
                  <c:v>42642</c:v>
                </c:pt>
                <c:pt idx="11">
                  <c:v>42643</c:v>
                </c:pt>
                <c:pt idx="12">
                  <c:v>42644</c:v>
                </c:pt>
                <c:pt idx="13">
                  <c:v>42645</c:v>
                </c:pt>
                <c:pt idx="14">
                  <c:v>42646</c:v>
                </c:pt>
                <c:pt idx="15">
                  <c:v>42647</c:v>
                </c:pt>
                <c:pt idx="16">
                  <c:v>42648</c:v>
                </c:pt>
                <c:pt idx="17">
                  <c:v>42649</c:v>
                </c:pt>
                <c:pt idx="18">
                  <c:v>42650</c:v>
                </c:pt>
                <c:pt idx="19">
                  <c:v>42651</c:v>
                </c:pt>
                <c:pt idx="20">
                  <c:v>42652</c:v>
                </c:pt>
                <c:pt idx="21">
                  <c:v>42653</c:v>
                </c:pt>
                <c:pt idx="22">
                  <c:v>42654</c:v>
                </c:pt>
                <c:pt idx="23">
                  <c:v>42655</c:v>
                </c:pt>
                <c:pt idx="24">
                  <c:v>42656</c:v>
                </c:pt>
                <c:pt idx="25">
                  <c:v>42657</c:v>
                </c:pt>
                <c:pt idx="26">
                  <c:v>42658</c:v>
                </c:pt>
                <c:pt idx="27">
                  <c:v>42659</c:v>
                </c:pt>
                <c:pt idx="28">
                  <c:v>42660</c:v>
                </c:pt>
                <c:pt idx="29">
                  <c:v>42661</c:v>
                </c:pt>
                <c:pt idx="30">
                  <c:v>42662</c:v>
                </c:pt>
                <c:pt idx="31">
                  <c:v>42663</c:v>
                </c:pt>
                <c:pt idx="32">
                  <c:v>42664</c:v>
                </c:pt>
                <c:pt idx="33">
                  <c:v>42665</c:v>
                </c:pt>
                <c:pt idx="34">
                  <c:v>42666</c:v>
                </c:pt>
                <c:pt idx="35">
                  <c:v>42667</c:v>
                </c:pt>
                <c:pt idx="36">
                  <c:v>42668</c:v>
                </c:pt>
                <c:pt idx="37">
                  <c:v>42669</c:v>
                </c:pt>
                <c:pt idx="38">
                  <c:v>42670</c:v>
                </c:pt>
                <c:pt idx="39">
                  <c:v>42671</c:v>
                </c:pt>
                <c:pt idx="40">
                  <c:v>42672</c:v>
                </c:pt>
                <c:pt idx="41">
                  <c:v>42673</c:v>
                </c:pt>
                <c:pt idx="42">
                  <c:v>42674</c:v>
                </c:pt>
                <c:pt idx="43">
                  <c:v>42675</c:v>
                </c:pt>
                <c:pt idx="44">
                  <c:v>42676</c:v>
                </c:pt>
                <c:pt idx="45">
                  <c:v>42677</c:v>
                </c:pt>
                <c:pt idx="46">
                  <c:v>42678</c:v>
                </c:pt>
                <c:pt idx="47">
                  <c:v>42679</c:v>
                </c:pt>
                <c:pt idx="48">
                  <c:v>42680</c:v>
                </c:pt>
                <c:pt idx="49">
                  <c:v>42681</c:v>
                </c:pt>
                <c:pt idx="50">
                  <c:v>42682</c:v>
                </c:pt>
                <c:pt idx="51">
                  <c:v>42683</c:v>
                </c:pt>
                <c:pt idx="52">
                  <c:v>42684</c:v>
                </c:pt>
                <c:pt idx="53">
                  <c:v>42685</c:v>
                </c:pt>
                <c:pt idx="54">
                  <c:v>42686</c:v>
                </c:pt>
                <c:pt idx="55">
                  <c:v>42687</c:v>
                </c:pt>
                <c:pt idx="56">
                  <c:v>42688</c:v>
                </c:pt>
                <c:pt idx="57">
                  <c:v>42689</c:v>
                </c:pt>
                <c:pt idx="58">
                  <c:v>42690</c:v>
                </c:pt>
              </c:numCache>
            </c:numRef>
          </c:cat>
          <c:val>
            <c:numRef>
              <c:f>'(前々日と前日)のカロリー差合算と当日朝体重増減関係'!$D$149:$D$207</c:f>
              <c:numCache>
                <c:formatCode>General</c:formatCode>
                <c:ptCount val="59"/>
                <c:pt idx="0">
                  <c:v>25</c:v>
                </c:pt>
                <c:pt idx="1">
                  <c:v>-92</c:v>
                </c:pt>
                <c:pt idx="2">
                  <c:v>-226</c:v>
                </c:pt>
                <c:pt idx="3">
                  <c:v>-123</c:v>
                </c:pt>
                <c:pt idx="4">
                  <c:v>166</c:v>
                </c:pt>
                <c:pt idx="5">
                  <c:v>228</c:v>
                </c:pt>
                <c:pt idx="6">
                  <c:v>-62</c:v>
                </c:pt>
                <c:pt idx="7">
                  <c:v>75</c:v>
                </c:pt>
                <c:pt idx="8">
                  <c:v>-37</c:v>
                </c:pt>
                <c:pt idx="9">
                  <c:v>-266</c:v>
                </c:pt>
                <c:pt idx="10">
                  <c:v>-154</c:v>
                </c:pt>
                <c:pt idx="11">
                  <c:v>-7</c:v>
                </c:pt>
                <c:pt idx="12">
                  <c:v>79</c:v>
                </c:pt>
                <c:pt idx="13">
                  <c:v>427</c:v>
                </c:pt>
                <c:pt idx="14">
                  <c:v>101</c:v>
                </c:pt>
                <c:pt idx="15">
                  <c:v>-407</c:v>
                </c:pt>
                <c:pt idx="16">
                  <c:v>-355</c:v>
                </c:pt>
                <c:pt idx="17">
                  <c:v>-252</c:v>
                </c:pt>
                <c:pt idx="18">
                  <c:v>100</c:v>
                </c:pt>
                <c:pt idx="19">
                  <c:v>149</c:v>
                </c:pt>
                <c:pt idx="20">
                  <c:v>55</c:v>
                </c:pt>
                <c:pt idx="21">
                  <c:v>216</c:v>
                </c:pt>
                <c:pt idx="22">
                  <c:v>548</c:v>
                </c:pt>
                <c:pt idx="23">
                  <c:v>263</c:v>
                </c:pt>
                <c:pt idx="24">
                  <c:v>-31</c:v>
                </c:pt>
                <c:pt idx="25">
                  <c:v>-9</c:v>
                </c:pt>
                <c:pt idx="26">
                  <c:v>-33</c:v>
                </c:pt>
                <c:pt idx="27">
                  <c:v>328</c:v>
                </c:pt>
                <c:pt idx="28">
                  <c:v>760</c:v>
                </c:pt>
                <c:pt idx="29">
                  <c:v>388</c:v>
                </c:pt>
                <c:pt idx="30">
                  <c:v>-113</c:v>
                </c:pt>
                <c:pt idx="31">
                  <c:v>-166</c:v>
                </c:pt>
                <c:pt idx="32">
                  <c:v>-108</c:v>
                </c:pt>
                <c:pt idx="33">
                  <c:v>133</c:v>
                </c:pt>
                <c:pt idx="34">
                  <c:v>345</c:v>
                </c:pt>
                <c:pt idx="35">
                  <c:v>570</c:v>
                </c:pt>
                <c:pt idx="36">
                  <c:v>415</c:v>
                </c:pt>
                <c:pt idx="37">
                  <c:v>-60</c:v>
                </c:pt>
                <c:pt idx="38">
                  <c:v>-368</c:v>
                </c:pt>
                <c:pt idx="39">
                  <c:v>-134</c:v>
                </c:pt>
                <c:pt idx="40">
                  <c:v>15</c:v>
                </c:pt>
                <c:pt idx="41">
                  <c:v>229</c:v>
                </c:pt>
                <c:pt idx="42">
                  <c:v>208</c:v>
                </c:pt>
                <c:pt idx="43">
                  <c:v>-49</c:v>
                </c:pt>
                <c:pt idx="44">
                  <c:v>27</c:v>
                </c:pt>
                <c:pt idx="45">
                  <c:v>499</c:v>
                </c:pt>
                <c:pt idx="46">
                  <c:v>358</c:v>
                </c:pt>
                <c:pt idx="47">
                  <c:v>-18</c:v>
                </c:pt>
                <c:pt idx="48">
                  <c:v>308</c:v>
                </c:pt>
                <c:pt idx="49">
                  <c:v>638</c:v>
                </c:pt>
                <c:pt idx="50">
                  <c:v>931</c:v>
                </c:pt>
                <c:pt idx="51">
                  <c:v>600</c:v>
                </c:pt>
                <c:pt idx="52">
                  <c:v>371</c:v>
                </c:pt>
                <c:pt idx="53">
                  <c:v>344</c:v>
                </c:pt>
                <c:pt idx="54">
                  <c:v>-83</c:v>
                </c:pt>
                <c:pt idx="55">
                  <c:v>332</c:v>
                </c:pt>
                <c:pt idx="56">
                  <c:v>361</c:v>
                </c:pt>
                <c:pt idx="57">
                  <c:v>-459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8-4120-9BD5-F805DFF80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9120"/>
        <c:axId val="171709512"/>
      </c:lineChart>
      <c:lineChart>
        <c:grouping val="standard"/>
        <c:varyColors val="0"/>
        <c:ser>
          <c:idx val="1"/>
          <c:order val="1"/>
          <c:tx>
            <c:strRef>
              <c:f>'(前々日と前日)のカロリー差合算と当日朝体重増減関係'!$C$1</c:f>
              <c:strCache>
                <c:ptCount val="1"/>
                <c:pt idx="0">
                  <c:v>右軸：体重増減(kg)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'(前々日と前日)のカロリー差合算と当日朝体重増減関係'!$A$149:$A$207</c:f>
              <c:numCache>
                <c:formatCode>m"月"d"日";@</c:formatCode>
                <c:ptCount val="59"/>
                <c:pt idx="0">
                  <c:v>42632</c:v>
                </c:pt>
                <c:pt idx="1">
                  <c:v>42633</c:v>
                </c:pt>
                <c:pt idx="2">
                  <c:v>42634</c:v>
                </c:pt>
                <c:pt idx="3">
                  <c:v>42635</c:v>
                </c:pt>
                <c:pt idx="4">
                  <c:v>42636</c:v>
                </c:pt>
                <c:pt idx="5">
                  <c:v>42637</c:v>
                </c:pt>
                <c:pt idx="6">
                  <c:v>42638</c:v>
                </c:pt>
                <c:pt idx="7">
                  <c:v>42639</c:v>
                </c:pt>
                <c:pt idx="8">
                  <c:v>42640</c:v>
                </c:pt>
                <c:pt idx="9">
                  <c:v>42641</c:v>
                </c:pt>
                <c:pt idx="10">
                  <c:v>42642</c:v>
                </c:pt>
                <c:pt idx="11">
                  <c:v>42643</c:v>
                </c:pt>
                <c:pt idx="12">
                  <c:v>42644</c:v>
                </c:pt>
                <c:pt idx="13">
                  <c:v>42645</c:v>
                </c:pt>
                <c:pt idx="14">
                  <c:v>42646</c:v>
                </c:pt>
                <c:pt idx="15">
                  <c:v>42647</c:v>
                </c:pt>
                <c:pt idx="16">
                  <c:v>42648</c:v>
                </c:pt>
                <c:pt idx="17">
                  <c:v>42649</c:v>
                </c:pt>
                <c:pt idx="18">
                  <c:v>42650</c:v>
                </c:pt>
                <c:pt idx="19">
                  <c:v>42651</c:v>
                </c:pt>
                <c:pt idx="20">
                  <c:v>42652</c:v>
                </c:pt>
                <c:pt idx="21">
                  <c:v>42653</c:v>
                </c:pt>
                <c:pt idx="22">
                  <c:v>42654</c:v>
                </c:pt>
                <c:pt idx="23">
                  <c:v>42655</c:v>
                </c:pt>
                <c:pt idx="24">
                  <c:v>42656</c:v>
                </c:pt>
                <c:pt idx="25">
                  <c:v>42657</c:v>
                </c:pt>
                <c:pt idx="26">
                  <c:v>42658</c:v>
                </c:pt>
                <c:pt idx="27">
                  <c:v>42659</c:v>
                </c:pt>
                <c:pt idx="28">
                  <c:v>42660</c:v>
                </c:pt>
                <c:pt idx="29">
                  <c:v>42661</c:v>
                </c:pt>
                <c:pt idx="30">
                  <c:v>42662</c:v>
                </c:pt>
                <c:pt idx="31">
                  <c:v>42663</c:v>
                </c:pt>
                <c:pt idx="32">
                  <c:v>42664</c:v>
                </c:pt>
                <c:pt idx="33">
                  <c:v>42665</c:v>
                </c:pt>
                <c:pt idx="34">
                  <c:v>42666</c:v>
                </c:pt>
                <c:pt idx="35">
                  <c:v>42667</c:v>
                </c:pt>
                <c:pt idx="36">
                  <c:v>42668</c:v>
                </c:pt>
                <c:pt idx="37">
                  <c:v>42669</c:v>
                </c:pt>
                <c:pt idx="38">
                  <c:v>42670</c:v>
                </c:pt>
                <c:pt idx="39">
                  <c:v>42671</c:v>
                </c:pt>
                <c:pt idx="40">
                  <c:v>42672</c:v>
                </c:pt>
                <c:pt idx="41">
                  <c:v>42673</c:v>
                </c:pt>
                <c:pt idx="42">
                  <c:v>42674</c:v>
                </c:pt>
                <c:pt idx="43">
                  <c:v>42675</c:v>
                </c:pt>
                <c:pt idx="44">
                  <c:v>42676</c:v>
                </c:pt>
                <c:pt idx="45">
                  <c:v>42677</c:v>
                </c:pt>
                <c:pt idx="46">
                  <c:v>42678</c:v>
                </c:pt>
                <c:pt idx="47">
                  <c:v>42679</c:v>
                </c:pt>
                <c:pt idx="48">
                  <c:v>42680</c:v>
                </c:pt>
                <c:pt idx="49">
                  <c:v>42681</c:v>
                </c:pt>
                <c:pt idx="50">
                  <c:v>42682</c:v>
                </c:pt>
                <c:pt idx="51">
                  <c:v>42683</c:v>
                </c:pt>
                <c:pt idx="52">
                  <c:v>42684</c:v>
                </c:pt>
                <c:pt idx="53">
                  <c:v>42685</c:v>
                </c:pt>
                <c:pt idx="54">
                  <c:v>42686</c:v>
                </c:pt>
                <c:pt idx="55">
                  <c:v>42687</c:v>
                </c:pt>
                <c:pt idx="56">
                  <c:v>42688</c:v>
                </c:pt>
                <c:pt idx="57">
                  <c:v>42689</c:v>
                </c:pt>
                <c:pt idx="58">
                  <c:v>42690</c:v>
                </c:pt>
              </c:numCache>
            </c:numRef>
          </c:cat>
          <c:val>
            <c:numRef>
              <c:f>'(前々日と前日)のカロリー差合算と当日朝体重増減関係'!$C$149:$C$207</c:f>
              <c:numCache>
                <c:formatCode>General</c:formatCode>
                <c:ptCount val="59"/>
                <c:pt idx="0">
                  <c:v>-0.5</c:v>
                </c:pt>
                <c:pt idx="1">
                  <c:v>0.79999999999999716</c:v>
                </c:pt>
                <c:pt idx="2">
                  <c:v>1.2000000000000028</c:v>
                </c:pt>
                <c:pt idx="3">
                  <c:v>9.9999999999994316E-2</c:v>
                </c:pt>
                <c:pt idx="4">
                  <c:v>-1.8999999999999915</c:v>
                </c:pt>
                <c:pt idx="5">
                  <c:v>1.0999999999999943</c:v>
                </c:pt>
                <c:pt idx="6">
                  <c:v>-0.59999999999999432</c:v>
                </c:pt>
                <c:pt idx="7">
                  <c:v>0.5</c:v>
                </c:pt>
                <c:pt idx="8">
                  <c:v>0</c:v>
                </c:pt>
                <c:pt idx="9">
                  <c:v>0.39999999999999147</c:v>
                </c:pt>
                <c:pt idx="10">
                  <c:v>-0.29999999999999716</c:v>
                </c:pt>
                <c:pt idx="11">
                  <c:v>0.59999999999999432</c:v>
                </c:pt>
                <c:pt idx="12">
                  <c:v>-0.59999999999999432</c:v>
                </c:pt>
                <c:pt idx="13">
                  <c:v>0.29999999999999716</c:v>
                </c:pt>
                <c:pt idx="14">
                  <c:v>-0.20000000000000284</c:v>
                </c:pt>
                <c:pt idx="15">
                  <c:v>0</c:v>
                </c:pt>
                <c:pt idx="16">
                  <c:v>0</c:v>
                </c:pt>
                <c:pt idx="17">
                  <c:v>0.30000000000001137</c:v>
                </c:pt>
                <c:pt idx="18">
                  <c:v>0.19999999999998863</c:v>
                </c:pt>
                <c:pt idx="19">
                  <c:v>0</c:v>
                </c:pt>
                <c:pt idx="20">
                  <c:v>-0.5</c:v>
                </c:pt>
                <c:pt idx="21">
                  <c:v>-0.19999999999998863</c:v>
                </c:pt>
                <c:pt idx="22">
                  <c:v>9.9999999999994316E-2</c:v>
                </c:pt>
                <c:pt idx="23">
                  <c:v>0.5</c:v>
                </c:pt>
                <c:pt idx="24">
                  <c:v>-0.59999999999999432</c:v>
                </c:pt>
                <c:pt idx="25">
                  <c:v>-0.30000000000001137</c:v>
                </c:pt>
                <c:pt idx="26">
                  <c:v>1.3000000000000114</c:v>
                </c:pt>
                <c:pt idx="27">
                  <c:v>-0.10000000000000853</c:v>
                </c:pt>
                <c:pt idx="28">
                  <c:v>-0.70000000000000284</c:v>
                </c:pt>
                <c:pt idx="29">
                  <c:v>0.20000000000000284</c:v>
                </c:pt>
                <c:pt idx="30">
                  <c:v>0.5</c:v>
                </c:pt>
                <c:pt idx="31">
                  <c:v>-0.5</c:v>
                </c:pt>
                <c:pt idx="32">
                  <c:v>0.5</c:v>
                </c:pt>
                <c:pt idx="33">
                  <c:v>0.20000000000000284</c:v>
                </c:pt>
                <c:pt idx="34">
                  <c:v>-1.2000000000000028</c:v>
                </c:pt>
                <c:pt idx="35">
                  <c:v>0.40000000000000568</c:v>
                </c:pt>
                <c:pt idx="36">
                  <c:v>0.5</c:v>
                </c:pt>
                <c:pt idx="37">
                  <c:v>-0.29999999999999716</c:v>
                </c:pt>
                <c:pt idx="38">
                  <c:v>9.9999999999994316E-2</c:v>
                </c:pt>
                <c:pt idx="39">
                  <c:v>0</c:v>
                </c:pt>
                <c:pt idx="40">
                  <c:v>0.20000000000000284</c:v>
                </c:pt>
                <c:pt idx="41">
                  <c:v>0.39999999999999147</c:v>
                </c:pt>
                <c:pt idx="42">
                  <c:v>-0.29999999999999716</c:v>
                </c:pt>
                <c:pt idx="43">
                  <c:v>-9.9999999999994316E-2</c:v>
                </c:pt>
                <c:pt idx="44">
                  <c:v>0</c:v>
                </c:pt>
                <c:pt idx="45">
                  <c:v>0.70000000000000284</c:v>
                </c:pt>
                <c:pt idx="46">
                  <c:v>-0.90000000000000568</c:v>
                </c:pt>
                <c:pt idx="47">
                  <c:v>1.2999999999999972</c:v>
                </c:pt>
                <c:pt idx="48">
                  <c:v>-1</c:v>
                </c:pt>
                <c:pt idx="49">
                  <c:v>-1.0999999999999943</c:v>
                </c:pt>
                <c:pt idx="50">
                  <c:v>1.0999999999999943</c:v>
                </c:pt>
                <c:pt idx="51">
                  <c:v>-0.39999999999999147</c:v>
                </c:pt>
                <c:pt idx="52">
                  <c:v>0.29999999999999716</c:v>
                </c:pt>
                <c:pt idx="53">
                  <c:v>0.89999999999999147</c:v>
                </c:pt>
                <c:pt idx="54">
                  <c:v>-1</c:v>
                </c:pt>
                <c:pt idx="55">
                  <c:v>-0.39999999999999147</c:v>
                </c:pt>
                <c:pt idx="56">
                  <c:v>0.39999999999999147</c:v>
                </c:pt>
                <c:pt idx="57">
                  <c:v>-0.39999999999999147</c:v>
                </c:pt>
                <c:pt idx="5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1-4701-9683-D078AAF8B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0688"/>
        <c:axId val="171709904"/>
      </c:lineChart>
      <c:dateAx>
        <c:axId val="171709120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512"/>
        <c:crosses val="autoZero"/>
        <c:auto val="1"/>
        <c:lblOffset val="100"/>
        <c:baseTimeUnit val="days"/>
      </c:dateAx>
      <c:valAx>
        <c:axId val="171709512"/>
        <c:scaling>
          <c:orientation val="minMax"/>
          <c:max val="15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120"/>
        <c:crosses val="autoZero"/>
        <c:crossBetween val="between"/>
      </c:valAx>
      <c:valAx>
        <c:axId val="171709904"/>
        <c:scaling>
          <c:orientation val="minMax"/>
          <c:min val="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0688"/>
        <c:crosses val="max"/>
        <c:crossBetween val="between"/>
      </c:valAx>
      <c:dateAx>
        <c:axId val="171710688"/>
        <c:scaling>
          <c:orientation val="minMax"/>
        </c:scaling>
        <c:delete val="1"/>
        <c:axPos val="b"/>
        <c:numFmt formatCode="m&quot;月&quot;d&quot;日&quot;;@" sourceLinked="1"/>
        <c:majorTickMark val="out"/>
        <c:minorTickMark val="none"/>
        <c:tickLblPos val="nextTo"/>
        <c:crossAx val="17170990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BDPMⅡ</a:t>
            </a:r>
            <a:r>
              <a:rPr lang="ja-JP" altLang="en-US"/>
              <a:t>痩身法</a:t>
            </a:r>
            <a:r>
              <a:rPr lang="en-US" altLang="ja-JP"/>
              <a:t>｢(</a:t>
            </a:r>
            <a:r>
              <a:rPr lang="ja-JP" altLang="en-US"/>
              <a:t>体重</a:t>
            </a:r>
            <a:r>
              <a:rPr lang="en-US" altLang="ja-JP"/>
              <a:t>×</a:t>
            </a:r>
            <a:r>
              <a:rPr lang="ja-JP" altLang="en-US"/>
              <a:t>摂取カロリー</a:t>
            </a:r>
            <a:r>
              <a:rPr lang="en-US" altLang="ja-JP"/>
              <a:t>)</a:t>
            </a:r>
            <a:r>
              <a:rPr lang="ja-JP" altLang="en-US"/>
              <a:t>相関</a:t>
            </a:r>
            <a:r>
              <a:rPr lang="en-US" altLang="ja-JP"/>
              <a:t>｣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454825380992169E-2"/>
          <c:y val="0.11988926630449549"/>
          <c:w val="0.88295752669105187"/>
          <c:h val="0.65335227874182145"/>
        </c:manualLayout>
      </c:layout>
      <c:areaChart>
        <c:grouping val="stacked"/>
        <c:varyColors val="0"/>
        <c:ser>
          <c:idx val="7"/>
          <c:order val="7"/>
          <c:tx>
            <c:strRef>
              <c:f>基データ!$I$1</c:f>
              <c:strCache>
                <c:ptCount val="1"/>
                <c:pt idx="0">
                  <c:v>基礎代謝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基データ!$I$2:$I$207</c:f>
              <c:numCache>
                <c:formatCode>0_ </c:formatCode>
                <c:ptCount val="206"/>
                <c:pt idx="0">
                  <c:v>1649.1973244147157</c:v>
                </c:pt>
                <c:pt idx="1">
                  <c:v>1649.1973244147157</c:v>
                </c:pt>
                <c:pt idx="2">
                  <c:v>1656.0917343526039</c:v>
                </c:pt>
                <c:pt idx="3">
                  <c:v>1649.1973244147157</c:v>
                </c:pt>
                <c:pt idx="4">
                  <c:v>1637.7066411849021</c:v>
                </c:pt>
                <c:pt idx="5">
                  <c:v>1637.7066411849021</c:v>
                </c:pt>
                <c:pt idx="6">
                  <c:v>1637.7066411849021</c:v>
                </c:pt>
                <c:pt idx="7">
                  <c:v>1640.0047778308647</c:v>
                </c:pt>
                <c:pt idx="8">
                  <c:v>1630.8122312470139</c:v>
                </c:pt>
                <c:pt idx="9">
                  <c:v>1630.8122312470139</c:v>
                </c:pt>
                <c:pt idx="10">
                  <c:v>1630.8122312470139</c:v>
                </c:pt>
                <c:pt idx="11">
                  <c:v>1630.8122312470139</c:v>
                </c:pt>
                <c:pt idx="12">
                  <c:v>1636.557572861921</c:v>
                </c:pt>
                <c:pt idx="13">
                  <c:v>1628.5140946010511</c:v>
                </c:pt>
                <c:pt idx="14">
                  <c:v>1628.5140946010511</c:v>
                </c:pt>
                <c:pt idx="15">
                  <c:v>1628.5140946010511</c:v>
                </c:pt>
                <c:pt idx="16">
                  <c:v>1628.5140946010511</c:v>
                </c:pt>
                <c:pt idx="17">
                  <c:v>1619.3215480172003</c:v>
                </c:pt>
                <c:pt idx="18">
                  <c:v>1619.3215480172003</c:v>
                </c:pt>
                <c:pt idx="19">
                  <c:v>1619.3215480172003</c:v>
                </c:pt>
                <c:pt idx="20">
                  <c:v>1619.3215480172003</c:v>
                </c:pt>
                <c:pt idx="21">
                  <c:v>1613.5762064022933</c:v>
                </c:pt>
                <c:pt idx="22">
                  <c:v>1613.5762064022933</c:v>
                </c:pt>
                <c:pt idx="23">
                  <c:v>1627.3650262780698</c:v>
                </c:pt>
                <c:pt idx="24">
                  <c:v>1613.5762064022933</c:v>
                </c:pt>
                <c:pt idx="25">
                  <c:v>1613.5762064022933</c:v>
                </c:pt>
                <c:pt idx="26">
                  <c:v>1613.5762064022933</c:v>
                </c:pt>
                <c:pt idx="27">
                  <c:v>1610.1290014333492</c:v>
                </c:pt>
                <c:pt idx="28">
                  <c:v>1607.8308647873866</c:v>
                </c:pt>
                <c:pt idx="29">
                  <c:v>1612.427138079312</c:v>
                </c:pt>
                <c:pt idx="30">
                  <c:v>1603.2345914954612</c:v>
                </c:pt>
                <c:pt idx="31">
                  <c:v>1608.9799331103679</c:v>
                </c:pt>
                <c:pt idx="32">
                  <c:v>1600.9364548494984</c:v>
                </c:pt>
                <c:pt idx="33">
                  <c:v>1606.6817964644054</c:v>
                </c:pt>
                <c:pt idx="34">
                  <c:v>1606.6817964644054</c:v>
                </c:pt>
                <c:pt idx="35">
                  <c:v>1603.2345914954612</c:v>
                </c:pt>
                <c:pt idx="36">
                  <c:v>1603.2345914954612</c:v>
                </c:pt>
                <c:pt idx="37">
                  <c:v>1612.427138079312</c:v>
                </c:pt>
                <c:pt idx="38">
                  <c:v>1603.2345914954612</c:v>
                </c:pt>
                <c:pt idx="39">
                  <c:v>1602.0855231724795</c:v>
                </c:pt>
                <c:pt idx="40">
                  <c:v>1603.2345914954612</c:v>
                </c:pt>
                <c:pt idx="41">
                  <c:v>1607.8308647873866</c:v>
                </c:pt>
                <c:pt idx="42">
                  <c:v>1607.8308647873866</c:v>
                </c:pt>
                <c:pt idx="43">
                  <c:v>1612.427138079312</c:v>
                </c:pt>
                <c:pt idx="44">
                  <c:v>1604.3836598184423</c:v>
                </c:pt>
                <c:pt idx="45">
                  <c:v>1604.3836598184423</c:v>
                </c:pt>
                <c:pt idx="46">
                  <c:v>1597.4892498805541</c:v>
                </c:pt>
                <c:pt idx="47">
                  <c:v>1603.2345914954612</c:v>
                </c:pt>
                <c:pt idx="48">
                  <c:v>1599.7873865265167</c:v>
                </c:pt>
                <c:pt idx="49">
                  <c:v>1599.7873865265167</c:v>
                </c:pt>
                <c:pt idx="50">
                  <c:v>1604.3836598184423</c:v>
                </c:pt>
                <c:pt idx="51">
                  <c:v>1610.1290014333492</c:v>
                </c:pt>
                <c:pt idx="52">
                  <c:v>1594.0420449116102</c:v>
                </c:pt>
                <c:pt idx="53">
                  <c:v>1594.0420449116102</c:v>
                </c:pt>
                <c:pt idx="54">
                  <c:v>1599.7873865265167</c:v>
                </c:pt>
                <c:pt idx="55">
                  <c:v>1592.8929765886287</c:v>
                </c:pt>
                <c:pt idx="56">
                  <c:v>1587.1476349737218</c:v>
                </c:pt>
                <c:pt idx="57">
                  <c:v>1587.1476349737218</c:v>
                </c:pt>
                <c:pt idx="58">
                  <c:v>1587.1476349737218</c:v>
                </c:pt>
                <c:pt idx="59">
                  <c:v>1583.7004300047779</c:v>
                </c:pt>
                <c:pt idx="60">
                  <c:v>1590.5948399426659</c:v>
                </c:pt>
                <c:pt idx="61">
                  <c:v>1585.9985666507405</c:v>
                </c:pt>
                <c:pt idx="62">
                  <c:v>1585.9985666507405</c:v>
                </c:pt>
                <c:pt idx="63">
                  <c:v>1585.9985666507405</c:v>
                </c:pt>
                <c:pt idx="64">
                  <c:v>1585.9985666507405</c:v>
                </c:pt>
                <c:pt idx="65">
                  <c:v>1582.5513616817964</c:v>
                </c:pt>
                <c:pt idx="66">
                  <c:v>1582.5513616817964</c:v>
                </c:pt>
                <c:pt idx="67">
                  <c:v>1584.849498327759</c:v>
                </c:pt>
                <c:pt idx="68">
                  <c:v>1592.8929765886287</c:v>
                </c:pt>
                <c:pt idx="69">
                  <c:v>1577.955088389871</c:v>
                </c:pt>
                <c:pt idx="70">
                  <c:v>1574.5078834209271</c:v>
                </c:pt>
                <c:pt idx="71">
                  <c:v>1580.2532250358338</c:v>
                </c:pt>
                <c:pt idx="72">
                  <c:v>1580.2532250358338</c:v>
                </c:pt>
                <c:pt idx="73">
                  <c:v>1576.8060200668897</c:v>
                </c:pt>
                <c:pt idx="74">
                  <c:v>1580.2532250358338</c:v>
                </c:pt>
                <c:pt idx="75">
                  <c:v>1580.2532250358338</c:v>
                </c:pt>
                <c:pt idx="76">
                  <c:v>1571.0606784519825</c:v>
                </c:pt>
                <c:pt idx="77">
                  <c:v>1576.8060200668897</c:v>
                </c:pt>
                <c:pt idx="78">
                  <c:v>1576.8060200668897</c:v>
                </c:pt>
                <c:pt idx="79">
                  <c:v>1576.8060200668897</c:v>
                </c:pt>
                <c:pt idx="80">
                  <c:v>1569.9116101290015</c:v>
                </c:pt>
                <c:pt idx="81">
                  <c:v>1575.6569517439082</c:v>
                </c:pt>
                <c:pt idx="82">
                  <c:v>1575.6569517439082</c:v>
                </c:pt>
                <c:pt idx="83">
                  <c:v>1560.7190635451504</c:v>
                </c:pt>
                <c:pt idx="84">
                  <c:v>1566.4644051600574</c:v>
                </c:pt>
                <c:pt idx="85">
                  <c:v>1567.6134734830387</c:v>
                </c:pt>
                <c:pt idx="86">
                  <c:v>1563.0172001911133</c:v>
                </c:pt>
                <c:pt idx="87">
                  <c:v>1563.0172001911133</c:v>
                </c:pt>
                <c:pt idx="88">
                  <c:v>1566.4644051600574</c:v>
                </c:pt>
                <c:pt idx="89">
                  <c:v>1571.0606784519825</c:v>
                </c:pt>
                <c:pt idx="90">
                  <c:v>1563.0172001911133</c:v>
                </c:pt>
                <c:pt idx="91">
                  <c:v>1571.0606784519825</c:v>
                </c:pt>
                <c:pt idx="92">
                  <c:v>1567.6134734830387</c:v>
                </c:pt>
                <c:pt idx="93">
                  <c:v>1567.6134734830387</c:v>
                </c:pt>
                <c:pt idx="94">
                  <c:v>1566.4644051600574</c:v>
                </c:pt>
                <c:pt idx="95">
                  <c:v>1563.0172001911133</c:v>
                </c:pt>
                <c:pt idx="96">
                  <c:v>1571.0606784519825</c:v>
                </c:pt>
                <c:pt idx="97">
                  <c:v>1574.5078834209271</c:v>
                </c:pt>
                <c:pt idx="98">
                  <c:v>1572.2097467749641</c:v>
                </c:pt>
                <c:pt idx="99">
                  <c:v>1567.6134734830387</c:v>
                </c:pt>
                <c:pt idx="100">
                  <c:v>1568.7625418060202</c:v>
                </c:pt>
                <c:pt idx="101">
                  <c:v>1568.7625418060202</c:v>
                </c:pt>
                <c:pt idx="102">
                  <c:v>1568.7625418060202</c:v>
                </c:pt>
                <c:pt idx="103">
                  <c:v>1572.2097467749641</c:v>
                </c:pt>
                <c:pt idx="104">
                  <c:v>1566.4644051600574</c:v>
                </c:pt>
                <c:pt idx="105">
                  <c:v>1563.0172001911133</c:v>
                </c:pt>
                <c:pt idx="106">
                  <c:v>1566.4644051600574</c:v>
                </c:pt>
                <c:pt idx="107">
                  <c:v>1559.5699952221692</c:v>
                </c:pt>
                <c:pt idx="108">
                  <c:v>1559.5699952221692</c:v>
                </c:pt>
                <c:pt idx="109">
                  <c:v>1566.4644051600574</c:v>
                </c:pt>
                <c:pt idx="110">
                  <c:v>1560.7190635451504</c:v>
                </c:pt>
                <c:pt idx="111">
                  <c:v>1556.122790253225</c:v>
                </c:pt>
                <c:pt idx="112">
                  <c:v>1556.122790253225</c:v>
                </c:pt>
                <c:pt idx="113">
                  <c:v>1565.3153368370758</c:v>
                </c:pt>
                <c:pt idx="114">
                  <c:v>1566.4644051600574</c:v>
                </c:pt>
                <c:pt idx="115">
                  <c:v>1565.3153368370758</c:v>
                </c:pt>
                <c:pt idx="116">
                  <c:v>1568.7625418060202</c:v>
                </c:pt>
                <c:pt idx="117">
                  <c:v>1560.7190635451504</c:v>
                </c:pt>
                <c:pt idx="118">
                  <c:v>1553.8246536072625</c:v>
                </c:pt>
                <c:pt idx="119">
                  <c:v>1563.0172001911133</c:v>
                </c:pt>
                <c:pt idx="120">
                  <c:v>1553.8246536072625</c:v>
                </c:pt>
                <c:pt idx="121">
                  <c:v>1564.1662685140948</c:v>
                </c:pt>
                <c:pt idx="122">
                  <c:v>1564.1662685140948</c:v>
                </c:pt>
                <c:pt idx="123">
                  <c:v>1557.2718585762063</c:v>
                </c:pt>
                <c:pt idx="124">
                  <c:v>1560.7190635451504</c:v>
                </c:pt>
                <c:pt idx="125">
                  <c:v>1553.8246536072625</c:v>
                </c:pt>
                <c:pt idx="126">
                  <c:v>1553.8246536072625</c:v>
                </c:pt>
                <c:pt idx="127">
                  <c:v>1553.8246536072625</c:v>
                </c:pt>
                <c:pt idx="128">
                  <c:v>1553.8246536072625</c:v>
                </c:pt>
                <c:pt idx="129">
                  <c:v>1553.8246536072625</c:v>
                </c:pt>
                <c:pt idx="130">
                  <c:v>1553.8246536072625</c:v>
                </c:pt>
                <c:pt idx="131">
                  <c:v>1553.8246536072625</c:v>
                </c:pt>
                <c:pt idx="132">
                  <c:v>1549.2283803153371</c:v>
                </c:pt>
                <c:pt idx="133">
                  <c:v>1549.2283803153371</c:v>
                </c:pt>
                <c:pt idx="134">
                  <c:v>1552.6755852842807</c:v>
                </c:pt>
                <c:pt idx="135">
                  <c:v>1560.7190635451504</c:v>
                </c:pt>
                <c:pt idx="136">
                  <c:v>1560.7190635451504</c:v>
                </c:pt>
                <c:pt idx="137">
                  <c:v>1553.8246536072625</c:v>
                </c:pt>
                <c:pt idx="138">
                  <c:v>1553.8246536072625</c:v>
                </c:pt>
                <c:pt idx="139">
                  <c:v>1553.8246536072625</c:v>
                </c:pt>
                <c:pt idx="140">
                  <c:v>1553.8246536072625</c:v>
                </c:pt>
                <c:pt idx="141">
                  <c:v>1546.9302436693742</c:v>
                </c:pt>
                <c:pt idx="142">
                  <c:v>1546.9302436693742</c:v>
                </c:pt>
                <c:pt idx="143">
                  <c:v>1546.9302436693742</c:v>
                </c:pt>
                <c:pt idx="144">
                  <c:v>1546.9302436693742</c:v>
                </c:pt>
                <c:pt idx="145">
                  <c:v>1546.9302436693742</c:v>
                </c:pt>
                <c:pt idx="146">
                  <c:v>1537.7376970855232</c:v>
                </c:pt>
                <c:pt idx="147">
                  <c:v>1531.9923554706163</c:v>
                </c:pt>
                <c:pt idx="148">
                  <c:v>1541.1849020544671</c:v>
                </c:pt>
                <c:pt idx="149">
                  <c:v>1554.9737219302438</c:v>
                </c:pt>
                <c:pt idx="150">
                  <c:v>1556.122790253225</c:v>
                </c:pt>
                <c:pt idx="151">
                  <c:v>1534.2904921165791</c:v>
                </c:pt>
                <c:pt idx="152">
                  <c:v>1546.9302436693742</c:v>
                </c:pt>
                <c:pt idx="153">
                  <c:v>1540.035833731486</c:v>
                </c:pt>
                <c:pt idx="154">
                  <c:v>1545.7811753463927</c:v>
                </c:pt>
                <c:pt idx="155">
                  <c:v>1545.7811753463927</c:v>
                </c:pt>
                <c:pt idx="156">
                  <c:v>1550.3774486383181</c:v>
                </c:pt>
                <c:pt idx="157">
                  <c:v>1546.9302436693742</c:v>
                </c:pt>
                <c:pt idx="158">
                  <c:v>1553.8246536072625</c:v>
                </c:pt>
                <c:pt idx="159">
                  <c:v>1546.9302436693742</c:v>
                </c:pt>
                <c:pt idx="160">
                  <c:v>1550.3774486383181</c:v>
                </c:pt>
                <c:pt idx="161">
                  <c:v>1548.0793119923553</c:v>
                </c:pt>
                <c:pt idx="162">
                  <c:v>1548.0793119923553</c:v>
                </c:pt>
                <c:pt idx="163">
                  <c:v>1548.0793119923553</c:v>
                </c:pt>
                <c:pt idx="164">
                  <c:v>1551.5265169612996</c:v>
                </c:pt>
                <c:pt idx="165">
                  <c:v>1553.8246536072625</c:v>
                </c:pt>
                <c:pt idx="166">
                  <c:v>1553.8246536072625</c:v>
                </c:pt>
                <c:pt idx="167">
                  <c:v>1548.0793119923553</c:v>
                </c:pt>
                <c:pt idx="168">
                  <c:v>1545.7811753463927</c:v>
                </c:pt>
                <c:pt idx="169">
                  <c:v>1546.9302436693742</c:v>
                </c:pt>
                <c:pt idx="170">
                  <c:v>1552.6755852842807</c:v>
                </c:pt>
                <c:pt idx="171">
                  <c:v>1545.7811753463927</c:v>
                </c:pt>
                <c:pt idx="172">
                  <c:v>1542.3339703774484</c:v>
                </c:pt>
                <c:pt idx="173">
                  <c:v>1557.2718585762063</c:v>
                </c:pt>
                <c:pt idx="174">
                  <c:v>1556.122790253225</c:v>
                </c:pt>
                <c:pt idx="175">
                  <c:v>1548.0793119923553</c:v>
                </c:pt>
                <c:pt idx="176">
                  <c:v>1550.3774486383181</c:v>
                </c:pt>
                <c:pt idx="177">
                  <c:v>1556.122790253225</c:v>
                </c:pt>
                <c:pt idx="178">
                  <c:v>1550.3774486383181</c:v>
                </c:pt>
                <c:pt idx="179">
                  <c:v>1556.122790253225</c:v>
                </c:pt>
                <c:pt idx="180">
                  <c:v>1558.4209268991879</c:v>
                </c:pt>
                <c:pt idx="181">
                  <c:v>1544.6321070234117</c:v>
                </c:pt>
                <c:pt idx="182">
                  <c:v>1549.2283803153371</c:v>
                </c:pt>
                <c:pt idx="183">
                  <c:v>1554.9737219302438</c:v>
                </c:pt>
                <c:pt idx="184">
                  <c:v>1551.5265169612996</c:v>
                </c:pt>
                <c:pt idx="185">
                  <c:v>1552.6755852842807</c:v>
                </c:pt>
                <c:pt idx="186">
                  <c:v>1552.6755852842807</c:v>
                </c:pt>
                <c:pt idx="187">
                  <c:v>1554.9737219302438</c:v>
                </c:pt>
                <c:pt idx="188">
                  <c:v>1559.5699952221692</c:v>
                </c:pt>
                <c:pt idx="189">
                  <c:v>1556.122790253225</c:v>
                </c:pt>
                <c:pt idx="190">
                  <c:v>1554.9737219302438</c:v>
                </c:pt>
                <c:pt idx="191">
                  <c:v>1554.9737219302438</c:v>
                </c:pt>
                <c:pt idx="192">
                  <c:v>1563.0172001911133</c:v>
                </c:pt>
                <c:pt idx="193">
                  <c:v>1552.6755852842807</c:v>
                </c:pt>
                <c:pt idx="194">
                  <c:v>1567.6134734830387</c:v>
                </c:pt>
                <c:pt idx="195">
                  <c:v>1556.122790253225</c:v>
                </c:pt>
                <c:pt idx="196">
                  <c:v>1543.4830387004299</c:v>
                </c:pt>
                <c:pt idx="197">
                  <c:v>1556.122790253225</c:v>
                </c:pt>
                <c:pt idx="198">
                  <c:v>1551.5265169612996</c:v>
                </c:pt>
                <c:pt idx="199">
                  <c:v>1554.9737219302438</c:v>
                </c:pt>
                <c:pt idx="200">
                  <c:v>1565.3153368370758</c:v>
                </c:pt>
                <c:pt idx="201">
                  <c:v>1553.8246536072625</c:v>
                </c:pt>
                <c:pt idx="202">
                  <c:v>1549.2283803153371</c:v>
                </c:pt>
                <c:pt idx="203">
                  <c:v>1553.8246536072625</c:v>
                </c:pt>
                <c:pt idx="204">
                  <c:v>1549.2283803153371</c:v>
                </c:pt>
                <c:pt idx="205">
                  <c:v>1560.7190635451504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9-421C-903D-15CBFD07455D}"/>
            </c:ext>
          </c:extLst>
        </c:ser>
        <c:ser>
          <c:idx val="8"/>
          <c:order val="8"/>
          <c:tx>
            <c:strRef>
              <c:f>基データ!$J$1</c:f>
              <c:strCache>
                <c:ptCount val="1"/>
                <c:pt idx="0">
                  <c:v>70Kg時摂取目標CAL</c:v>
                </c:pt>
              </c:strCache>
            </c:strRef>
          </c:tx>
          <c:spPr>
            <a:solidFill>
              <a:srgbClr val="CCECFF"/>
            </a:solidFill>
            <a:ln>
              <a:noFill/>
            </a:ln>
            <a:effectLst/>
          </c:spP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基データ!$J$2:$J$207</c:f>
              <c:numCache>
                <c:formatCode>0_ </c:formatCode>
                <c:ptCount val="206"/>
                <c:pt idx="0">
                  <c:v>417.1070234113713</c:v>
                </c:pt>
                <c:pt idx="1">
                  <c:v>417.1070234113713</c:v>
                </c:pt>
                <c:pt idx="2">
                  <c:v>416.1877687529859</c:v>
                </c:pt>
                <c:pt idx="3">
                  <c:v>417.1070234113713</c:v>
                </c:pt>
                <c:pt idx="4">
                  <c:v>418.63911450867977</c:v>
                </c:pt>
                <c:pt idx="5">
                  <c:v>418.63911450867977</c:v>
                </c:pt>
                <c:pt idx="6">
                  <c:v>418.63911450867977</c:v>
                </c:pt>
                <c:pt idx="7">
                  <c:v>418.33269628921812</c:v>
                </c:pt>
                <c:pt idx="8">
                  <c:v>419.55836916706517</c:v>
                </c:pt>
                <c:pt idx="9">
                  <c:v>419.55836916706517</c:v>
                </c:pt>
                <c:pt idx="10">
                  <c:v>419.55836916706517</c:v>
                </c:pt>
                <c:pt idx="11">
                  <c:v>419.55836916706517</c:v>
                </c:pt>
                <c:pt idx="12">
                  <c:v>418.79232361841059</c:v>
                </c:pt>
                <c:pt idx="13">
                  <c:v>419.86478738652659</c:v>
                </c:pt>
                <c:pt idx="14">
                  <c:v>419.86478738652659</c:v>
                </c:pt>
                <c:pt idx="15">
                  <c:v>419.86478738652659</c:v>
                </c:pt>
                <c:pt idx="16">
                  <c:v>419.86478738652659</c:v>
                </c:pt>
                <c:pt idx="17">
                  <c:v>421.09046026437341</c:v>
                </c:pt>
                <c:pt idx="18">
                  <c:v>421.09046026437341</c:v>
                </c:pt>
                <c:pt idx="19">
                  <c:v>421.09046026437341</c:v>
                </c:pt>
                <c:pt idx="20">
                  <c:v>421.09046026437341</c:v>
                </c:pt>
                <c:pt idx="21">
                  <c:v>421.85650581302752</c:v>
                </c:pt>
                <c:pt idx="22">
                  <c:v>421.85650581302752</c:v>
                </c:pt>
                <c:pt idx="23">
                  <c:v>420.01799649625741</c:v>
                </c:pt>
                <c:pt idx="24">
                  <c:v>421.85650581302752</c:v>
                </c:pt>
                <c:pt idx="25">
                  <c:v>421.85650581302752</c:v>
                </c:pt>
                <c:pt idx="26">
                  <c:v>421.85650581302752</c:v>
                </c:pt>
                <c:pt idx="27">
                  <c:v>422.31613314222022</c:v>
                </c:pt>
                <c:pt idx="28">
                  <c:v>422.62255136168187</c:v>
                </c:pt>
                <c:pt idx="29">
                  <c:v>422.00971492275835</c:v>
                </c:pt>
                <c:pt idx="30">
                  <c:v>423.23538780060517</c:v>
                </c:pt>
                <c:pt idx="31">
                  <c:v>422.46934225195105</c:v>
                </c:pt>
                <c:pt idx="32">
                  <c:v>423.54180602006682</c:v>
                </c:pt>
                <c:pt idx="33">
                  <c:v>422.77576047141247</c:v>
                </c:pt>
                <c:pt idx="34">
                  <c:v>422.77576047141247</c:v>
                </c:pt>
                <c:pt idx="35">
                  <c:v>423.23538780060517</c:v>
                </c:pt>
                <c:pt idx="36">
                  <c:v>423.23538780060517</c:v>
                </c:pt>
                <c:pt idx="37">
                  <c:v>422.00971492275835</c:v>
                </c:pt>
                <c:pt idx="38">
                  <c:v>423.23538780060517</c:v>
                </c:pt>
                <c:pt idx="39">
                  <c:v>423.38859691033622</c:v>
                </c:pt>
                <c:pt idx="40">
                  <c:v>423.23538780060517</c:v>
                </c:pt>
                <c:pt idx="41">
                  <c:v>422.62255136168187</c:v>
                </c:pt>
                <c:pt idx="42">
                  <c:v>422.62255136168187</c:v>
                </c:pt>
                <c:pt idx="43">
                  <c:v>422.00971492275835</c:v>
                </c:pt>
                <c:pt idx="44">
                  <c:v>423.08217869087457</c:v>
                </c:pt>
                <c:pt idx="45">
                  <c:v>423.08217869087457</c:v>
                </c:pt>
                <c:pt idx="46">
                  <c:v>424.00143334925951</c:v>
                </c:pt>
                <c:pt idx="47">
                  <c:v>423.23538780060517</c:v>
                </c:pt>
                <c:pt idx="48">
                  <c:v>423.69501512979787</c:v>
                </c:pt>
                <c:pt idx="49">
                  <c:v>423.69501512979787</c:v>
                </c:pt>
                <c:pt idx="50">
                  <c:v>423.08217869087457</c:v>
                </c:pt>
                <c:pt idx="51">
                  <c:v>422.31613314222022</c:v>
                </c:pt>
                <c:pt idx="52">
                  <c:v>424.46106067845221</c:v>
                </c:pt>
                <c:pt idx="53">
                  <c:v>424.46106067845221</c:v>
                </c:pt>
                <c:pt idx="54">
                  <c:v>423.69501512979787</c:v>
                </c:pt>
                <c:pt idx="55">
                  <c:v>424.61426978818304</c:v>
                </c:pt>
                <c:pt idx="56">
                  <c:v>425.38031533683693</c:v>
                </c:pt>
                <c:pt idx="57">
                  <c:v>425.38031533683693</c:v>
                </c:pt>
                <c:pt idx="58">
                  <c:v>425.38031533683693</c:v>
                </c:pt>
                <c:pt idx="59">
                  <c:v>425.83994266602963</c:v>
                </c:pt>
                <c:pt idx="60">
                  <c:v>424.92068800764469</c:v>
                </c:pt>
                <c:pt idx="61">
                  <c:v>425.53352444656798</c:v>
                </c:pt>
                <c:pt idx="62">
                  <c:v>425.53352444656798</c:v>
                </c:pt>
                <c:pt idx="63">
                  <c:v>425.53352444656798</c:v>
                </c:pt>
                <c:pt idx="64">
                  <c:v>425.53352444656798</c:v>
                </c:pt>
                <c:pt idx="65">
                  <c:v>425.99315177576045</c:v>
                </c:pt>
                <c:pt idx="66">
                  <c:v>425.99315177576045</c:v>
                </c:pt>
                <c:pt idx="67">
                  <c:v>425.6867335562988</c:v>
                </c:pt>
                <c:pt idx="68">
                  <c:v>424.61426978818304</c:v>
                </c:pt>
                <c:pt idx="69">
                  <c:v>426.60598821468398</c:v>
                </c:pt>
                <c:pt idx="70">
                  <c:v>427.06561554387645</c:v>
                </c:pt>
                <c:pt idx="71">
                  <c:v>426.29956999522233</c:v>
                </c:pt>
                <c:pt idx="72">
                  <c:v>426.29956999522233</c:v>
                </c:pt>
                <c:pt idx="73">
                  <c:v>426.75919732441457</c:v>
                </c:pt>
                <c:pt idx="74">
                  <c:v>426.29956999522233</c:v>
                </c:pt>
                <c:pt idx="75">
                  <c:v>426.29956999522233</c:v>
                </c:pt>
                <c:pt idx="76">
                  <c:v>427.52524287306915</c:v>
                </c:pt>
                <c:pt idx="77">
                  <c:v>426.75919732441457</c:v>
                </c:pt>
                <c:pt idx="78">
                  <c:v>426.75919732441457</c:v>
                </c:pt>
                <c:pt idx="79">
                  <c:v>426.75919732441457</c:v>
                </c:pt>
                <c:pt idx="80">
                  <c:v>427.67845198279997</c:v>
                </c:pt>
                <c:pt idx="81">
                  <c:v>426.91240643414585</c:v>
                </c:pt>
                <c:pt idx="82">
                  <c:v>426.91240643414585</c:v>
                </c:pt>
                <c:pt idx="83">
                  <c:v>428.90412486064679</c:v>
                </c:pt>
                <c:pt idx="84">
                  <c:v>428.13807931199244</c:v>
                </c:pt>
                <c:pt idx="85">
                  <c:v>427.98487020226162</c:v>
                </c:pt>
                <c:pt idx="86">
                  <c:v>428.59770664118491</c:v>
                </c:pt>
                <c:pt idx="87">
                  <c:v>428.59770664118491</c:v>
                </c:pt>
                <c:pt idx="88">
                  <c:v>428.13807931199244</c:v>
                </c:pt>
                <c:pt idx="89">
                  <c:v>427.52524287306915</c:v>
                </c:pt>
                <c:pt idx="90">
                  <c:v>428.59770664118491</c:v>
                </c:pt>
                <c:pt idx="91">
                  <c:v>427.52524287306915</c:v>
                </c:pt>
                <c:pt idx="92">
                  <c:v>427.98487020226162</c:v>
                </c:pt>
                <c:pt idx="93">
                  <c:v>427.98487020226162</c:v>
                </c:pt>
                <c:pt idx="94">
                  <c:v>428.13807931199244</c:v>
                </c:pt>
                <c:pt idx="95">
                  <c:v>428.59770664118491</c:v>
                </c:pt>
                <c:pt idx="96">
                  <c:v>427.52524287306915</c:v>
                </c:pt>
                <c:pt idx="97">
                  <c:v>427.06561554387645</c:v>
                </c:pt>
                <c:pt idx="98">
                  <c:v>427.37203376333832</c:v>
                </c:pt>
                <c:pt idx="99">
                  <c:v>427.98487020226162</c:v>
                </c:pt>
                <c:pt idx="100">
                  <c:v>427.83166109253057</c:v>
                </c:pt>
                <c:pt idx="101">
                  <c:v>427.83166109253057</c:v>
                </c:pt>
                <c:pt idx="102">
                  <c:v>427.83166109253057</c:v>
                </c:pt>
                <c:pt idx="103">
                  <c:v>427.37203376333832</c:v>
                </c:pt>
                <c:pt idx="104">
                  <c:v>428.13807931199244</c:v>
                </c:pt>
                <c:pt idx="105">
                  <c:v>428.59770664118491</c:v>
                </c:pt>
                <c:pt idx="106">
                  <c:v>428.13807931199244</c:v>
                </c:pt>
                <c:pt idx="107">
                  <c:v>429.05733397037739</c:v>
                </c:pt>
                <c:pt idx="108">
                  <c:v>429.05733397037739</c:v>
                </c:pt>
                <c:pt idx="109">
                  <c:v>428.13807931199244</c:v>
                </c:pt>
                <c:pt idx="110">
                  <c:v>428.90412486064679</c:v>
                </c:pt>
                <c:pt idx="111">
                  <c:v>429.51696129957008</c:v>
                </c:pt>
                <c:pt idx="112">
                  <c:v>429.51696129957008</c:v>
                </c:pt>
                <c:pt idx="113">
                  <c:v>428.29128842172327</c:v>
                </c:pt>
                <c:pt idx="114">
                  <c:v>428.13807931199244</c:v>
                </c:pt>
                <c:pt idx="115">
                  <c:v>428.29128842172327</c:v>
                </c:pt>
                <c:pt idx="116">
                  <c:v>427.83166109253057</c:v>
                </c:pt>
                <c:pt idx="117">
                  <c:v>428.90412486064679</c:v>
                </c:pt>
                <c:pt idx="118">
                  <c:v>429.82337951903173</c:v>
                </c:pt>
                <c:pt idx="119">
                  <c:v>428.59770664118491</c:v>
                </c:pt>
                <c:pt idx="120">
                  <c:v>429.82337951903173</c:v>
                </c:pt>
                <c:pt idx="121">
                  <c:v>428.44449753145409</c:v>
                </c:pt>
                <c:pt idx="122">
                  <c:v>428.44449753145409</c:v>
                </c:pt>
                <c:pt idx="123">
                  <c:v>429.36375218983926</c:v>
                </c:pt>
                <c:pt idx="124">
                  <c:v>428.90412486064679</c:v>
                </c:pt>
                <c:pt idx="125">
                  <c:v>429.82337951903173</c:v>
                </c:pt>
                <c:pt idx="126">
                  <c:v>429.82337951903173</c:v>
                </c:pt>
                <c:pt idx="127">
                  <c:v>429.82337951903173</c:v>
                </c:pt>
                <c:pt idx="128">
                  <c:v>429.82337951903173</c:v>
                </c:pt>
                <c:pt idx="129">
                  <c:v>429.82337951903173</c:v>
                </c:pt>
                <c:pt idx="130">
                  <c:v>429.82337951903173</c:v>
                </c:pt>
                <c:pt idx="131">
                  <c:v>429.82337951903173</c:v>
                </c:pt>
                <c:pt idx="132">
                  <c:v>430.43621595795503</c:v>
                </c:pt>
                <c:pt idx="133">
                  <c:v>430.43621595795503</c:v>
                </c:pt>
                <c:pt idx="134">
                  <c:v>429.97658862876256</c:v>
                </c:pt>
                <c:pt idx="135">
                  <c:v>428.90412486064679</c:v>
                </c:pt>
                <c:pt idx="136">
                  <c:v>428.90412486064679</c:v>
                </c:pt>
                <c:pt idx="137">
                  <c:v>429.82337951903173</c:v>
                </c:pt>
                <c:pt idx="138">
                  <c:v>429.82337951903173</c:v>
                </c:pt>
                <c:pt idx="139">
                  <c:v>429.82337951903173</c:v>
                </c:pt>
                <c:pt idx="140">
                  <c:v>429.82337951903173</c:v>
                </c:pt>
                <c:pt idx="141">
                  <c:v>430.7426341774169</c:v>
                </c:pt>
                <c:pt idx="142">
                  <c:v>430.7426341774169</c:v>
                </c:pt>
                <c:pt idx="143">
                  <c:v>430.7426341774169</c:v>
                </c:pt>
                <c:pt idx="144">
                  <c:v>430.7426341774169</c:v>
                </c:pt>
                <c:pt idx="145">
                  <c:v>430.7426341774169</c:v>
                </c:pt>
                <c:pt idx="146">
                  <c:v>431.96830705526372</c:v>
                </c:pt>
                <c:pt idx="147">
                  <c:v>432.73435260391784</c:v>
                </c:pt>
                <c:pt idx="148">
                  <c:v>431.50867972607102</c:v>
                </c:pt>
                <c:pt idx="149">
                  <c:v>429.67017040930091</c:v>
                </c:pt>
                <c:pt idx="150">
                  <c:v>429.51696129957008</c:v>
                </c:pt>
                <c:pt idx="151">
                  <c:v>432.42793438445619</c:v>
                </c:pt>
                <c:pt idx="152">
                  <c:v>430.7426341774169</c:v>
                </c:pt>
                <c:pt idx="153">
                  <c:v>431.66188883580185</c:v>
                </c:pt>
                <c:pt idx="154">
                  <c:v>430.89584328714773</c:v>
                </c:pt>
                <c:pt idx="155">
                  <c:v>430.89584328714773</c:v>
                </c:pt>
                <c:pt idx="156">
                  <c:v>430.2830068482242</c:v>
                </c:pt>
                <c:pt idx="157">
                  <c:v>430.7426341774169</c:v>
                </c:pt>
                <c:pt idx="158">
                  <c:v>429.82337951903173</c:v>
                </c:pt>
                <c:pt idx="159">
                  <c:v>430.7426341774169</c:v>
                </c:pt>
                <c:pt idx="160">
                  <c:v>430.2830068482242</c:v>
                </c:pt>
                <c:pt idx="161">
                  <c:v>430.58942506768608</c:v>
                </c:pt>
                <c:pt idx="162">
                  <c:v>430.58942506768608</c:v>
                </c:pt>
                <c:pt idx="163">
                  <c:v>430.58942506768608</c:v>
                </c:pt>
                <c:pt idx="164">
                  <c:v>430.12979773849338</c:v>
                </c:pt>
                <c:pt idx="165">
                  <c:v>429.82337951903173</c:v>
                </c:pt>
                <c:pt idx="166">
                  <c:v>429.82337951903173</c:v>
                </c:pt>
                <c:pt idx="167">
                  <c:v>430.58942506768608</c:v>
                </c:pt>
                <c:pt idx="168">
                  <c:v>430.89584328714773</c:v>
                </c:pt>
                <c:pt idx="169">
                  <c:v>430.7426341774169</c:v>
                </c:pt>
                <c:pt idx="170">
                  <c:v>429.97658862876256</c:v>
                </c:pt>
                <c:pt idx="171">
                  <c:v>430.89584328714773</c:v>
                </c:pt>
                <c:pt idx="172">
                  <c:v>431.3554706163402</c:v>
                </c:pt>
                <c:pt idx="173">
                  <c:v>429.36375218983926</c:v>
                </c:pt>
                <c:pt idx="174">
                  <c:v>429.51696129957008</c:v>
                </c:pt>
                <c:pt idx="175">
                  <c:v>430.58942506768608</c:v>
                </c:pt>
                <c:pt idx="176">
                  <c:v>430.2830068482242</c:v>
                </c:pt>
                <c:pt idx="177">
                  <c:v>429.51696129957008</c:v>
                </c:pt>
                <c:pt idx="178">
                  <c:v>430.2830068482242</c:v>
                </c:pt>
                <c:pt idx="179">
                  <c:v>429.51696129957008</c:v>
                </c:pt>
                <c:pt idx="180">
                  <c:v>429.21054308010844</c:v>
                </c:pt>
                <c:pt idx="181">
                  <c:v>431.04905239687855</c:v>
                </c:pt>
                <c:pt idx="182">
                  <c:v>430.43621595795503</c:v>
                </c:pt>
                <c:pt idx="183">
                  <c:v>429.67017040930091</c:v>
                </c:pt>
                <c:pt idx="184">
                  <c:v>430.12979773849338</c:v>
                </c:pt>
                <c:pt idx="185">
                  <c:v>429.97658862876256</c:v>
                </c:pt>
                <c:pt idx="186">
                  <c:v>429.97658862876256</c:v>
                </c:pt>
                <c:pt idx="187">
                  <c:v>429.67017040930091</c:v>
                </c:pt>
                <c:pt idx="188">
                  <c:v>429.05733397037739</c:v>
                </c:pt>
                <c:pt idx="189">
                  <c:v>429.51696129957008</c:v>
                </c:pt>
                <c:pt idx="190">
                  <c:v>429.67017040930091</c:v>
                </c:pt>
                <c:pt idx="191">
                  <c:v>429.67017040930091</c:v>
                </c:pt>
                <c:pt idx="192">
                  <c:v>428.59770664118491</c:v>
                </c:pt>
                <c:pt idx="193">
                  <c:v>429.97658862876256</c:v>
                </c:pt>
                <c:pt idx="194">
                  <c:v>427.98487020226162</c:v>
                </c:pt>
                <c:pt idx="195">
                  <c:v>429.51696129957008</c:v>
                </c:pt>
                <c:pt idx="196">
                  <c:v>431.20226150660937</c:v>
                </c:pt>
                <c:pt idx="197">
                  <c:v>429.51696129957008</c:v>
                </c:pt>
                <c:pt idx="198">
                  <c:v>430.12979773849338</c:v>
                </c:pt>
                <c:pt idx="199">
                  <c:v>429.67017040930091</c:v>
                </c:pt>
                <c:pt idx="200">
                  <c:v>428.29128842172327</c:v>
                </c:pt>
                <c:pt idx="201">
                  <c:v>429.82337951903173</c:v>
                </c:pt>
                <c:pt idx="202">
                  <c:v>430.43621595795503</c:v>
                </c:pt>
                <c:pt idx="203">
                  <c:v>429.82337951903173</c:v>
                </c:pt>
                <c:pt idx="204">
                  <c:v>430.43621595795503</c:v>
                </c:pt>
                <c:pt idx="205">
                  <c:v>428.90412486064679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7-4C45-ADE9-710793A43081}"/>
            </c:ext>
          </c:extLst>
        </c:ser>
        <c:ser>
          <c:idx val="9"/>
          <c:order val="9"/>
          <c:tx>
            <c:strRef>
              <c:f>基データ!$K$1</c:f>
              <c:strCache>
                <c:ptCount val="1"/>
                <c:pt idx="0">
                  <c:v>運動消費CAL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基データ!$K$2:$K$207</c:f>
              <c:numCache>
                <c:formatCode>0_ </c:formatCode>
                <c:ptCount val="206"/>
                <c:pt idx="0">
                  <c:v>177</c:v>
                </c:pt>
                <c:pt idx="1">
                  <c:v>309</c:v>
                </c:pt>
                <c:pt idx="2">
                  <c:v>212</c:v>
                </c:pt>
                <c:pt idx="3">
                  <c:v>636</c:v>
                </c:pt>
                <c:pt idx="4">
                  <c:v>264</c:v>
                </c:pt>
                <c:pt idx="5">
                  <c:v>272</c:v>
                </c:pt>
                <c:pt idx="6">
                  <c:v>399</c:v>
                </c:pt>
                <c:pt idx="7">
                  <c:v>341</c:v>
                </c:pt>
                <c:pt idx="8">
                  <c:v>128</c:v>
                </c:pt>
                <c:pt idx="9">
                  <c:v>899</c:v>
                </c:pt>
                <c:pt idx="10">
                  <c:v>940</c:v>
                </c:pt>
                <c:pt idx="11">
                  <c:v>668</c:v>
                </c:pt>
                <c:pt idx="12">
                  <c:v>592</c:v>
                </c:pt>
                <c:pt idx="13">
                  <c:v>214</c:v>
                </c:pt>
                <c:pt idx="14">
                  <c:v>331</c:v>
                </c:pt>
                <c:pt idx="15">
                  <c:v>180</c:v>
                </c:pt>
                <c:pt idx="16">
                  <c:v>277</c:v>
                </c:pt>
                <c:pt idx="17">
                  <c:v>639</c:v>
                </c:pt>
                <c:pt idx="18">
                  <c:v>486</c:v>
                </c:pt>
                <c:pt idx="19">
                  <c:v>835</c:v>
                </c:pt>
                <c:pt idx="20">
                  <c:v>289</c:v>
                </c:pt>
                <c:pt idx="21">
                  <c:v>626</c:v>
                </c:pt>
                <c:pt idx="22">
                  <c:v>623</c:v>
                </c:pt>
                <c:pt idx="23">
                  <c:v>814</c:v>
                </c:pt>
                <c:pt idx="24">
                  <c:v>590</c:v>
                </c:pt>
                <c:pt idx="25">
                  <c:v>139</c:v>
                </c:pt>
                <c:pt idx="26">
                  <c:v>313</c:v>
                </c:pt>
                <c:pt idx="27">
                  <c:v>508</c:v>
                </c:pt>
                <c:pt idx="28">
                  <c:v>506</c:v>
                </c:pt>
                <c:pt idx="29">
                  <c:v>298</c:v>
                </c:pt>
                <c:pt idx="30">
                  <c:v>327</c:v>
                </c:pt>
                <c:pt idx="31">
                  <c:v>349</c:v>
                </c:pt>
                <c:pt idx="32">
                  <c:v>369</c:v>
                </c:pt>
                <c:pt idx="33">
                  <c:v>510</c:v>
                </c:pt>
                <c:pt idx="34">
                  <c:v>868</c:v>
                </c:pt>
                <c:pt idx="35">
                  <c:v>165</c:v>
                </c:pt>
                <c:pt idx="36">
                  <c:v>427</c:v>
                </c:pt>
                <c:pt idx="37">
                  <c:v>869</c:v>
                </c:pt>
                <c:pt idx="38">
                  <c:v>538</c:v>
                </c:pt>
                <c:pt idx="39">
                  <c:v>577</c:v>
                </c:pt>
                <c:pt idx="40">
                  <c:v>713</c:v>
                </c:pt>
                <c:pt idx="41">
                  <c:v>464</c:v>
                </c:pt>
                <c:pt idx="42">
                  <c:v>579</c:v>
                </c:pt>
                <c:pt idx="43">
                  <c:v>517</c:v>
                </c:pt>
                <c:pt idx="44">
                  <c:v>452</c:v>
                </c:pt>
                <c:pt idx="45">
                  <c:v>436</c:v>
                </c:pt>
                <c:pt idx="46">
                  <c:v>587</c:v>
                </c:pt>
                <c:pt idx="47">
                  <c:v>544</c:v>
                </c:pt>
                <c:pt idx="48">
                  <c:v>384</c:v>
                </c:pt>
                <c:pt idx="49">
                  <c:v>526</c:v>
                </c:pt>
                <c:pt idx="50">
                  <c:v>651</c:v>
                </c:pt>
                <c:pt idx="51">
                  <c:v>656</c:v>
                </c:pt>
                <c:pt idx="52">
                  <c:v>515</c:v>
                </c:pt>
                <c:pt idx="53">
                  <c:v>565</c:v>
                </c:pt>
                <c:pt idx="54">
                  <c:v>500</c:v>
                </c:pt>
                <c:pt idx="55">
                  <c:v>1080</c:v>
                </c:pt>
                <c:pt idx="56">
                  <c:v>336</c:v>
                </c:pt>
                <c:pt idx="57">
                  <c:v>950</c:v>
                </c:pt>
                <c:pt idx="58">
                  <c:v>386</c:v>
                </c:pt>
                <c:pt idx="59">
                  <c:v>442</c:v>
                </c:pt>
                <c:pt idx="60">
                  <c:v>840</c:v>
                </c:pt>
                <c:pt idx="61">
                  <c:v>840</c:v>
                </c:pt>
                <c:pt idx="62">
                  <c:v>423</c:v>
                </c:pt>
                <c:pt idx="63">
                  <c:v>408</c:v>
                </c:pt>
                <c:pt idx="64">
                  <c:v>564</c:v>
                </c:pt>
                <c:pt idx="65">
                  <c:v>632</c:v>
                </c:pt>
                <c:pt idx="66">
                  <c:v>310</c:v>
                </c:pt>
                <c:pt idx="67">
                  <c:v>345</c:v>
                </c:pt>
                <c:pt idx="68">
                  <c:v>706</c:v>
                </c:pt>
                <c:pt idx="69">
                  <c:v>562</c:v>
                </c:pt>
                <c:pt idx="70">
                  <c:v>313</c:v>
                </c:pt>
                <c:pt idx="71">
                  <c:v>333</c:v>
                </c:pt>
                <c:pt idx="72">
                  <c:v>288</c:v>
                </c:pt>
                <c:pt idx="73">
                  <c:v>336</c:v>
                </c:pt>
                <c:pt idx="74">
                  <c:v>405</c:v>
                </c:pt>
                <c:pt idx="75">
                  <c:v>474</c:v>
                </c:pt>
                <c:pt idx="76">
                  <c:v>245</c:v>
                </c:pt>
                <c:pt idx="77">
                  <c:v>571</c:v>
                </c:pt>
                <c:pt idx="78">
                  <c:v>571</c:v>
                </c:pt>
                <c:pt idx="79">
                  <c:v>656</c:v>
                </c:pt>
                <c:pt idx="80">
                  <c:v>344</c:v>
                </c:pt>
                <c:pt idx="81">
                  <c:v>462</c:v>
                </c:pt>
                <c:pt idx="82">
                  <c:v>423</c:v>
                </c:pt>
                <c:pt idx="83">
                  <c:v>744</c:v>
                </c:pt>
                <c:pt idx="84">
                  <c:v>875</c:v>
                </c:pt>
                <c:pt idx="85">
                  <c:v>229</c:v>
                </c:pt>
                <c:pt idx="86">
                  <c:v>369</c:v>
                </c:pt>
                <c:pt idx="87">
                  <c:v>512</c:v>
                </c:pt>
                <c:pt idx="88">
                  <c:v>171</c:v>
                </c:pt>
                <c:pt idx="89">
                  <c:v>230</c:v>
                </c:pt>
                <c:pt idx="90">
                  <c:v>241</c:v>
                </c:pt>
                <c:pt idx="91">
                  <c:v>260</c:v>
                </c:pt>
                <c:pt idx="92">
                  <c:v>510</c:v>
                </c:pt>
                <c:pt idx="93">
                  <c:v>479</c:v>
                </c:pt>
                <c:pt idx="94">
                  <c:v>75</c:v>
                </c:pt>
                <c:pt idx="95">
                  <c:v>311</c:v>
                </c:pt>
                <c:pt idx="96">
                  <c:v>695</c:v>
                </c:pt>
                <c:pt idx="97">
                  <c:v>262</c:v>
                </c:pt>
                <c:pt idx="98">
                  <c:v>1277</c:v>
                </c:pt>
                <c:pt idx="99">
                  <c:v>119</c:v>
                </c:pt>
                <c:pt idx="100">
                  <c:v>146</c:v>
                </c:pt>
                <c:pt idx="101">
                  <c:v>643</c:v>
                </c:pt>
                <c:pt idx="102">
                  <c:v>234</c:v>
                </c:pt>
                <c:pt idx="103">
                  <c:v>313</c:v>
                </c:pt>
                <c:pt idx="104">
                  <c:v>580</c:v>
                </c:pt>
                <c:pt idx="105">
                  <c:v>449</c:v>
                </c:pt>
                <c:pt idx="106">
                  <c:v>556</c:v>
                </c:pt>
                <c:pt idx="107">
                  <c:v>849</c:v>
                </c:pt>
                <c:pt idx="108">
                  <c:v>83</c:v>
                </c:pt>
                <c:pt idx="109">
                  <c:v>457</c:v>
                </c:pt>
                <c:pt idx="110">
                  <c:v>708</c:v>
                </c:pt>
                <c:pt idx="111">
                  <c:v>198</c:v>
                </c:pt>
                <c:pt idx="112">
                  <c:v>751</c:v>
                </c:pt>
                <c:pt idx="113">
                  <c:v>496</c:v>
                </c:pt>
                <c:pt idx="114">
                  <c:v>319</c:v>
                </c:pt>
                <c:pt idx="115">
                  <c:v>127</c:v>
                </c:pt>
                <c:pt idx="116">
                  <c:v>858</c:v>
                </c:pt>
                <c:pt idx="117">
                  <c:v>708</c:v>
                </c:pt>
                <c:pt idx="118">
                  <c:v>398</c:v>
                </c:pt>
                <c:pt idx="119">
                  <c:v>311</c:v>
                </c:pt>
                <c:pt idx="120">
                  <c:v>222</c:v>
                </c:pt>
                <c:pt idx="121">
                  <c:v>214</c:v>
                </c:pt>
                <c:pt idx="122">
                  <c:v>190</c:v>
                </c:pt>
                <c:pt idx="123">
                  <c:v>192</c:v>
                </c:pt>
                <c:pt idx="124">
                  <c:v>604</c:v>
                </c:pt>
                <c:pt idx="125">
                  <c:v>429</c:v>
                </c:pt>
                <c:pt idx="126">
                  <c:v>224</c:v>
                </c:pt>
                <c:pt idx="127">
                  <c:v>324</c:v>
                </c:pt>
                <c:pt idx="128">
                  <c:v>271</c:v>
                </c:pt>
                <c:pt idx="129">
                  <c:v>204</c:v>
                </c:pt>
                <c:pt idx="130">
                  <c:v>206</c:v>
                </c:pt>
                <c:pt idx="131">
                  <c:v>706</c:v>
                </c:pt>
                <c:pt idx="132">
                  <c:v>380</c:v>
                </c:pt>
                <c:pt idx="133">
                  <c:v>390</c:v>
                </c:pt>
                <c:pt idx="134">
                  <c:v>251</c:v>
                </c:pt>
                <c:pt idx="135">
                  <c:v>355</c:v>
                </c:pt>
                <c:pt idx="136">
                  <c:v>304</c:v>
                </c:pt>
                <c:pt idx="137">
                  <c:v>414</c:v>
                </c:pt>
                <c:pt idx="138">
                  <c:v>673</c:v>
                </c:pt>
                <c:pt idx="139">
                  <c:v>206</c:v>
                </c:pt>
                <c:pt idx="140">
                  <c:v>262</c:v>
                </c:pt>
                <c:pt idx="141">
                  <c:v>253</c:v>
                </c:pt>
                <c:pt idx="142">
                  <c:v>294</c:v>
                </c:pt>
                <c:pt idx="143">
                  <c:v>276</c:v>
                </c:pt>
                <c:pt idx="144">
                  <c:v>330</c:v>
                </c:pt>
                <c:pt idx="145">
                  <c:v>251</c:v>
                </c:pt>
                <c:pt idx="146">
                  <c:v>434</c:v>
                </c:pt>
                <c:pt idx="147">
                  <c:v>134</c:v>
                </c:pt>
                <c:pt idx="148">
                  <c:v>300</c:v>
                </c:pt>
                <c:pt idx="149">
                  <c:v>237</c:v>
                </c:pt>
                <c:pt idx="150">
                  <c:v>589</c:v>
                </c:pt>
                <c:pt idx="151">
                  <c:v>299</c:v>
                </c:pt>
                <c:pt idx="152">
                  <c:v>299</c:v>
                </c:pt>
                <c:pt idx="153">
                  <c:v>436</c:v>
                </c:pt>
                <c:pt idx="154">
                  <c:v>187</c:v>
                </c:pt>
                <c:pt idx="155">
                  <c:v>207</c:v>
                </c:pt>
                <c:pt idx="156">
                  <c:v>299</c:v>
                </c:pt>
                <c:pt idx="157">
                  <c:v>354</c:v>
                </c:pt>
                <c:pt idx="158">
                  <c:v>385</c:v>
                </c:pt>
                <c:pt idx="159">
                  <c:v>702</c:v>
                </c:pt>
                <c:pt idx="160">
                  <c:v>59</c:v>
                </c:pt>
                <c:pt idx="161">
                  <c:v>194</c:v>
                </c:pt>
                <c:pt idx="162">
                  <c:v>111</c:v>
                </c:pt>
                <c:pt idx="163">
                  <c:v>297</c:v>
                </c:pt>
                <c:pt idx="164">
                  <c:v>463</c:v>
                </c:pt>
                <c:pt idx="165">
                  <c:v>346</c:v>
                </c:pt>
                <c:pt idx="166">
                  <c:v>369</c:v>
                </c:pt>
                <c:pt idx="167">
                  <c:v>507</c:v>
                </c:pt>
                <c:pt idx="168">
                  <c:v>701</c:v>
                </c:pt>
                <c:pt idx="169">
                  <c:v>222</c:v>
                </c:pt>
                <c:pt idx="170">
                  <c:v>407</c:v>
                </c:pt>
                <c:pt idx="171">
                  <c:v>244</c:v>
                </c:pt>
                <c:pt idx="172">
                  <c:v>383</c:v>
                </c:pt>
                <c:pt idx="173">
                  <c:v>605</c:v>
                </c:pt>
                <c:pt idx="174">
                  <c:v>815</c:v>
                </c:pt>
                <c:pt idx="175">
                  <c:v>233</c:v>
                </c:pt>
                <c:pt idx="176">
                  <c:v>314</c:v>
                </c:pt>
                <c:pt idx="177">
                  <c:v>180</c:v>
                </c:pt>
                <c:pt idx="178">
                  <c:v>372</c:v>
                </c:pt>
                <c:pt idx="179">
                  <c:v>421</c:v>
                </c:pt>
                <c:pt idx="180">
                  <c:v>584</c:v>
                </c:pt>
                <c:pt idx="181">
                  <c:v>646</c:v>
                </c:pt>
                <c:pt idx="182">
                  <c:v>429</c:v>
                </c:pt>
                <c:pt idx="183">
                  <c:v>171</c:v>
                </c:pt>
                <c:pt idx="184">
                  <c:v>121</c:v>
                </c:pt>
                <c:pt idx="185">
                  <c:v>405</c:v>
                </c:pt>
                <c:pt idx="186">
                  <c:v>270</c:v>
                </c:pt>
                <c:pt idx="187">
                  <c:v>619</c:v>
                </c:pt>
                <c:pt idx="188">
                  <c:v>249</c:v>
                </c:pt>
                <c:pt idx="189">
                  <c:v>362</c:v>
                </c:pt>
                <c:pt idx="190">
                  <c:v>325</c:v>
                </c:pt>
                <c:pt idx="191">
                  <c:v>834</c:v>
                </c:pt>
                <c:pt idx="192">
                  <c:v>184</c:v>
                </c:pt>
                <c:pt idx="193">
                  <c:v>458</c:v>
                </c:pt>
                <c:pt idx="194">
                  <c:v>510</c:v>
                </c:pt>
                <c:pt idx="195">
                  <c:v>788</c:v>
                </c:pt>
                <c:pt idx="196">
                  <c:v>803</c:v>
                </c:pt>
                <c:pt idx="197">
                  <c:v>457</c:v>
                </c:pt>
                <c:pt idx="198">
                  <c:v>574</c:v>
                </c:pt>
                <c:pt idx="199">
                  <c:v>430</c:v>
                </c:pt>
                <c:pt idx="200">
                  <c:v>147</c:v>
                </c:pt>
                <c:pt idx="201">
                  <c:v>845</c:v>
                </c:pt>
                <c:pt idx="202">
                  <c:v>176</c:v>
                </c:pt>
                <c:pt idx="203">
                  <c:v>25</c:v>
                </c:pt>
                <c:pt idx="204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B-4B34-9C62-367C787C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708728"/>
        <c:axId val="171713824"/>
      </c:areaChart>
      <c:barChart>
        <c:barDir val="col"/>
        <c:grouping val="stacked"/>
        <c:varyColors val="0"/>
        <c:ser>
          <c:idx val="5"/>
          <c:order val="5"/>
          <c:tx>
            <c:strRef>
              <c:f>基データ!$G$1</c:f>
              <c:strCache>
                <c:ptCount val="1"/>
                <c:pt idx="0">
                  <c:v>(内、アルコール）</c:v>
                </c:pt>
              </c:strCache>
            </c:strRef>
          </c:tx>
          <c:spPr>
            <a:solidFill>
              <a:srgbClr val="FF99FF"/>
            </a:solidFill>
            <a:ln>
              <a:solidFill>
                <a:srgbClr val="FF99FF"/>
              </a:solidFill>
            </a:ln>
            <a:effectLst/>
          </c:spPr>
          <c:invertIfNegative val="0"/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基データ!$G$2:$G$207</c:f>
              <c:numCache>
                <c:formatCode>General</c:formatCode>
                <c:ptCount val="206"/>
                <c:pt idx="0">
                  <c:v>0</c:v>
                </c:pt>
                <c:pt idx="1">
                  <c:v>422</c:v>
                </c:pt>
                <c:pt idx="2">
                  <c:v>316</c:v>
                </c:pt>
                <c:pt idx="3">
                  <c:v>80</c:v>
                </c:pt>
                <c:pt idx="4">
                  <c:v>270</c:v>
                </c:pt>
                <c:pt idx="5">
                  <c:v>847</c:v>
                </c:pt>
                <c:pt idx="6">
                  <c:v>633</c:v>
                </c:pt>
                <c:pt idx="7">
                  <c:v>240</c:v>
                </c:pt>
                <c:pt idx="8">
                  <c:v>320</c:v>
                </c:pt>
                <c:pt idx="9">
                  <c:v>489</c:v>
                </c:pt>
                <c:pt idx="10">
                  <c:v>830</c:v>
                </c:pt>
                <c:pt idx="11">
                  <c:v>1567</c:v>
                </c:pt>
                <c:pt idx="12">
                  <c:v>608</c:v>
                </c:pt>
                <c:pt idx="13">
                  <c:v>612</c:v>
                </c:pt>
                <c:pt idx="14">
                  <c:v>1257</c:v>
                </c:pt>
                <c:pt idx="15">
                  <c:v>0</c:v>
                </c:pt>
                <c:pt idx="16">
                  <c:v>284</c:v>
                </c:pt>
                <c:pt idx="17">
                  <c:v>342</c:v>
                </c:pt>
                <c:pt idx="18">
                  <c:v>728</c:v>
                </c:pt>
                <c:pt idx="19">
                  <c:v>850</c:v>
                </c:pt>
                <c:pt idx="20">
                  <c:v>306</c:v>
                </c:pt>
                <c:pt idx="21">
                  <c:v>402</c:v>
                </c:pt>
                <c:pt idx="22">
                  <c:v>1194</c:v>
                </c:pt>
                <c:pt idx="23">
                  <c:v>306</c:v>
                </c:pt>
                <c:pt idx="24">
                  <c:v>426</c:v>
                </c:pt>
                <c:pt idx="25">
                  <c:v>830</c:v>
                </c:pt>
                <c:pt idx="26">
                  <c:v>408</c:v>
                </c:pt>
                <c:pt idx="27">
                  <c:v>683</c:v>
                </c:pt>
                <c:pt idx="28">
                  <c:v>1265</c:v>
                </c:pt>
                <c:pt idx="29">
                  <c:v>204</c:v>
                </c:pt>
                <c:pt idx="30">
                  <c:v>408</c:v>
                </c:pt>
                <c:pt idx="31">
                  <c:v>306</c:v>
                </c:pt>
                <c:pt idx="32">
                  <c:v>612</c:v>
                </c:pt>
                <c:pt idx="33">
                  <c:v>306</c:v>
                </c:pt>
                <c:pt idx="34">
                  <c:v>393</c:v>
                </c:pt>
                <c:pt idx="35">
                  <c:v>401</c:v>
                </c:pt>
                <c:pt idx="36">
                  <c:v>612</c:v>
                </c:pt>
                <c:pt idx="37">
                  <c:v>714</c:v>
                </c:pt>
                <c:pt idx="38">
                  <c:v>1412</c:v>
                </c:pt>
                <c:pt idx="39">
                  <c:v>1310</c:v>
                </c:pt>
                <c:pt idx="40">
                  <c:v>612</c:v>
                </c:pt>
                <c:pt idx="41">
                  <c:v>510</c:v>
                </c:pt>
                <c:pt idx="42">
                  <c:v>778</c:v>
                </c:pt>
                <c:pt idx="43">
                  <c:v>0</c:v>
                </c:pt>
                <c:pt idx="44">
                  <c:v>306</c:v>
                </c:pt>
                <c:pt idx="45">
                  <c:v>306</c:v>
                </c:pt>
                <c:pt idx="46">
                  <c:v>787</c:v>
                </c:pt>
                <c:pt idx="47">
                  <c:v>746</c:v>
                </c:pt>
                <c:pt idx="48">
                  <c:v>384</c:v>
                </c:pt>
                <c:pt idx="49">
                  <c:v>668</c:v>
                </c:pt>
                <c:pt idx="50">
                  <c:v>489</c:v>
                </c:pt>
                <c:pt idx="51">
                  <c:v>442</c:v>
                </c:pt>
                <c:pt idx="52">
                  <c:v>119</c:v>
                </c:pt>
                <c:pt idx="53">
                  <c:v>1322</c:v>
                </c:pt>
                <c:pt idx="54">
                  <c:v>357</c:v>
                </c:pt>
                <c:pt idx="55">
                  <c:v>430</c:v>
                </c:pt>
                <c:pt idx="56">
                  <c:v>365</c:v>
                </c:pt>
                <c:pt idx="57">
                  <c:v>378</c:v>
                </c:pt>
                <c:pt idx="58">
                  <c:v>357</c:v>
                </c:pt>
                <c:pt idx="59">
                  <c:v>1196</c:v>
                </c:pt>
                <c:pt idx="60">
                  <c:v>747</c:v>
                </c:pt>
                <c:pt idx="61">
                  <c:v>854</c:v>
                </c:pt>
                <c:pt idx="62">
                  <c:v>430</c:v>
                </c:pt>
                <c:pt idx="63">
                  <c:v>327</c:v>
                </c:pt>
                <c:pt idx="64">
                  <c:v>381</c:v>
                </c:pt>
                <c:pt idx="65">
                  <c:v>427</c:v>
                </c:pt>
                <c:pt idx="66">
                  <c:v>292</c:v>
                </c:pt>
                <c:pt idx="67">
                  <c:v>1428</c:v>
                </c:pt>
                <c:pt idx="68">
                  <c:v>669</c:v>
                </c:pt>
                <c:pt idx="69">
                  <c:v>384</c:v>
                </c:pt>
                <c:pt idx="70">
                  <c:v>538</c:v>
                </c:pt>
                <c:pt idx="71">
                  <c:v>653</c:v>
                </c:pt>
                <c:pt idx="72">
                  <c:v>791</c:v>
                </c:pt>
                <c:pt idx="73">
                  <c:v>357</c:v>
                </c:pt>
                <c:pt idx="74">
                  <c:v>984</c:v>
                </c:pt>
                <c:pt idx="75">
                  <c:v>622</c:v>
                </c:pt>
                <c:pt idx="76">
                  <c:v>378</c:v>
                </c:pt>
                <c:pt idx="77">
                  <c:v>676</c:v>
                </c:pt>
                <c:pt idx="78">
                  <c:v>606</c:v>
                </c:pt>
                <c:pt idx="79">
                  <c:v>346</c:v>
                </c:pt>
                <c:pt idx="80">
                  <c:v>412</c:v>
                </c:pt>
                <c:pt idx="81">
                  <c:v>446</c:v>
                </c:pt>
                <c:pt idx="82">
                  <c:v>384</c:v>
                </c:pt>
                <c:pt idx="83">
                  <c:v>254</c:v>
                </c:pt>
                <c:pt idx="84">
                  <c:v>595</c:v>
                </c:pt>
                <c:pt idx="85">
                  <c:v>669</c:v>
                </c:pt>
                <c:pt idx="86">
                  <c:v>788</c:v>
                </c:pt>
                <c:pt idx="87">
                  <c:v>1136</c:v>
                </c:pt>
                <c:pt idx="88">
                  <c:v>922</c:v>
                </c:pt>
                <c:pt idx="89">
                  <c:v>311</c:v>
                </c:pt>
                <c:pt idx="90">
                  <c:v>1402</c:v>
                </c:pt>
                <c:pt idx="91">
                  <c:v>219</c:v>
                </c:pt>
                <c:pt idx="92">
                  <c:v>790</c:v>
                </c:pt>
                <c:pt idx="93">
                  <c:v>275</c:v>
                </c:pt>
                <c:pt idx="94">
                  <c:v>386</c:v>
                </c:pt>
                <c:pt idx="95">
                  <c:v>1029</c:v>
                </c:pt>
                <c:pt idx="96">
                  <c:v>548</c:v>
                </c:pt>
                <c:pt idx="97">
                  <c:v>0</c:v>
                </c:pt>
                <c:pt idx="98">
                  <c:v>669</c:v>
                </c:pt>
                <c:pt idx="99">
                  <c:v>557</c:v>
                </c:pt>
                <c:pt idx="100">
                  <c:v>378</c:v>
                </c:pt>
                <c:pt idx="101">
                  <c:v>949</c:v>
                </c:pt>
                <c:pt idx="102">
                  <c:v>1067</c:v>
                </c:pt>
                <c:pt idx="103">
                  <c:v>1168</c:v>
                </c:pt>
                <c:pt idx="104">
                  <c:v>411</c:v>
                </c:pt>
                <c:pt idx="105">
                  <c:v>845</c:v>
                </c:pt>
                <c:pt idx="106">
                  <c:v>395</c:v>
                </c:pt>
                <c:pt idx="107">
                  <c:v>508</c:v>
                </c:pt>
                <c:pt idx="108">
                  <c:v>727</c:v>
                </c:pt>
                <c:pt idx="109">
                  <c:v>353</c:v>
                </c:pt>
                <c:pt idx="110">
                  <c:v>714</c:v>
                </c:pt>
                <c:pt idx="111">
                  <c:v>487</c:v>
                </c:pt>
                <c:pt idx="112">
                  <c:v>476</c:v>
                </c:pt>
                <c:pt idx="113">
                  <c:v>357</c:v>
                </c:pt>
                <c:pt idx="114">
                  <c:v>1736</c:v>
                </c:pt>
                <c:pt idx="115">
                  <c:v>322</c:v>
                </c:pt>
                <c:pt idx="116">
                  <c:v>595</c:v>
                </c:pt>
                <c:pt idx="117">
                  <c:v>607</c:v>
                </c:pt>
                <c:pt idx="118">
                  <c:v>606</c:v>
                </c:pt>
                <c:pt idx="119">
                  <c:v>688</c:v>
                </c:pt>
                <c:pt idx="120">
                  <c:v>457</c:v>
                </c:pt>
                <c:pt idx="121">
                  <c:v>1081</c:v>
                </c:pt>
                <c:pt idx="122">
                  <c:v>778</c:v>
                </c:pt>
                <c:pt idx="123">
                  <c:v>676</c:v>
                </c:pt>
                <c:pt idx="124">
                  <c:v>745</c:v>
                </c:pt>
                <c:pt idx="125">
                  <c:v>476</c:v>
                </c:pt>
                <c:pt idx="126">
                  <c:v>560</c:v>
                </c:pt>
                <c:pt idx="127">
                  <c:v>850</c:v>
                </c:pt>
                <c:pt idx="128">
                  <c:v>489</c:v>
                </c:pt>
                <c:pt idx="129">
                  <c:v>691</c:v>
                </c:pt>
                <c:pt idx="130">
                  <c:v>527</c:v>
                </c:pt>
                <c:pt idx="131">
                  <c:v>476</c:v>
                </c:pt>
                <c:pt idx="132">
                  <c:v>453</c:v>
                </c:pt>
                <c:pt idx="133">
                  <c:v>355</c:v>
                </c:pt>
                <c:pt idx="134">
                  <c:v>930</c:v>
                </c:pt>
                <c:pt idx="135">
                  <c:v>676</c:v>
                </c:pt>
                <c:pt idx="136">
                  <c:v>382</c:v>
                </c:pt>
                <c:pt idx="137">
                  <c:v>506</c:v>
                </c:pt>
                <c:pt idx="138">
                  <c:v>362</c:v>
                </c:pt>
                <c:pt idx="139">
                  <c:v>666</c:v>
                </c:pt>
                <c:pt idx="140">
                  <c:v>457</c:v>
                </c:pt>
                <c:pt idx="141">
                  <c:v>378</c:v>
                </c:pt>
                <c:pt idx="142">
                  <c:v>649</c:v>
                </c:pt>
                <c:pt idx="143">
                  <c:v>1026</c:v>
                </c:pt>
                <c:pt idx="144">
                  <c:v>835</c:v>
                </c:pt>
                <c:pt idx="145">
                  <c:v>1295</c:v>
                </c:pt>
                <c:pt idx="146">
                  <c:v>435</c:v>
                </c:pt>
                <c:pt idx="147">
                  <c:v>604</c:v>
                </c:pt>
                <c:pt idx="148">
                  <c:v>530</c:v>
                </c:pt>
                <c:pt idx="149">
                  <c:v>616</c:v>
                </c:pt>
                <c:pt idx="150">
                  <c:v>311</c:v>
                </c:pt>
                <c:pt idx="151">
                  <c:v>905</c:v>
                </c:pt>
                <c:pt idx="152">
                  <c:v>723</c:v>
                </c:pt>
                <c:pt idx="153">
                  <c:v>441</c:v>
                </c:pt>
                <c:pt idx="154">
                  <c:v>508</c:v>
                </c:pt>
                <c:pt idx="155">
                  <c:v>456</c:v>
                </c:pt>
                <c:pt idx="156">
                  <c:v>508</c:v>
                </c:pt>
                <c:pt idx="157">
                  <c:v>807</c:v>
                </c:pt>
                <c:pt idx="158">
                  <c:v>1602</c:v>
                </c:pt>
                <c:pt idx="159">
                  <c:v>676</c:v>
                </c:pt>
                <c:pt idx="160">
                  <c:v>596</c:v>
                </c:pt>
                <c:pt idx="161">
                  <c:v>747</c:v>
                </c:pt>
                <c:pt idx="162">
                  <c:v>706</c:v>
                </c:pt>
                <c:pt idx="163">
                  <c:v>735</c:v>
                </c:pt>
                <c:pt idx="164">
                  <c:v>776</c:v>
                </c:pt>
                <c:pt idx="165">
                  <c:v>2402</c:v>
                </c:pt>
                <c:pt idx="166">
                  <c:v>606</c:v>
                </c:pt>
                <c:pt idx="167">
                  <c:v>673</c:v>
                </c:pt>
                <c:pt idx="168">
                  <c:v>501</c:v>
                </c:pt>
                <c:pt idx="169">
                  <c:v>338</c:v>
                </c:pt>
                <c:pt idx="170">
                  <c:v>1470</c:v>
                </c:pt>
                <c:pt idx="171">
                  <c:v>413</c:v>
                </c:pt>
                <c:pt idx="172">
                  <c:v>730</c:v>
                </c:pt>
                <c:pt idx="173">
                  <c:v>457</c:v>
                </c:pt>
                <c:pt idx="174">
                  <c:v>457</c:v>
                </c:pt>
                <c:pt idx="175">
                  <c:v>369</c:v>
                </c:pt>
                <c:pt idx="176">
                  <c:v>601</c:v>
                </c:pt>
                <c:pt idx="177">
                  <c:v>467</c:v>
                </c:pt>
                <c:pt idx="178">
                  <c:v>1011</c:v>
                </c:pt>
                <c:pt idx="179">
                  <c:v>695</c:v>
                </c:pt>
                <c:pt idx="180">
                  <c:v>348</c:v>
                </c:pt>
                <c:pt idx="181">
                  <c:v>780</c:v>
                </c:pt>
                <c:pt idx="182">
                  <c:v>338</c:v>
                </c:pt>
                <c:pt idx="183">
                  <c:v>727</c:v>
                </c:pt>
                <c:pt idx="184">
                  <c:v>382</c:v>
                </c:pt>
                <c:pt idx="185">
                  <c:v>823</c:v>
                </c:pt>
                <c:pt idx="186">
                  <c:v>530</c:v>
                </c:pt>
                <c:pt idx="187">
                  <c:v>695</c:v>
                </c:pt>
                <c:pt idx="188">
                  <c:v>400</c:v>
                </c:pt>
                <c:pt idx="189">
                  <c:v>531</c:v>
                </c:pt>
                <c:pt idx="190">
                  <c:v>250</c:v>
                </c:pt>
                <c:pt idx="191">
                  <c:v>1258</c:v>
                </c:pt>
                <c:pt idx="192">
                  <c:v>435</c:v>
                </c:pt>
                <c:pt idx="193">
                  <c:v>1007</c:v>
                </c:pt>
                <c:pt idx="194">
                  <c:v>1193</c:v>
                </c:pt>
                <c:pt idx="195">
                  <c:v>474</c:v>
                </c:pt>
                <c:pt idx="196">
                  <c:v>660</c:v>
                </c:pt>
                <c:pt idx="197">
                  <c:v>294</c:v>
                </c:pt>
                <c:pt idx="198">
                  <c:v>909</c:v>
                </c:pt>
                <c:pt idx="199">
                  <c:v>860</c:v>
                </c:pt>
                <c:pt idx="200">
                  <c:v>830</c:v>
                </c:pt>
                <c:pt idx="201">
                  <c:v>507</c:v>
                </c:pt>
                <c:pt idx="202">
                  <c:v>540</c:v>
                </c:pt>
                <c:pt idx="203">
                  <c:v>389</c:v>
                </c:pt>
                <c:pt idx="204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D-460E-94FE-4B217C0334FB}"/>
            </c:ext>
          </c:extLst>
        </c:ser>
        <c:ser>
          <c:idx val="6"/>
          <c:order val="6"/>
          <c:tx>
            <c:strRef>
              <c:f>基データ!$H$1</c:f>
              <c:strCache>
                <c:ptCount val="1"/>
                <c:pt idx="0">
                  <c:v>アルコール外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基データ!$H$2:$H$207</c:f>
              <c:numCache>
                <c:formatCode>General</c:formatCode>
                <c:ptCount val="206"/>
                <c:pt idx="0">
                  <c:v>982</c:v>
                </c:pt>
                <c:pt idx="1">
                  <c:v>2152</c:v>
                </c:pt>
                <c:pt idx="2">
                  <c:v>776</c:v>
                </c:pt>
                <c:pt idx="3">
                  <c:v>1436</c:v>
                </c:pt>
                <c:pt idx="4">
                  <c:v>958</c:v>
                </c:pt>
                <c:pt idx="5">
                  <c:v>1303</c:v>
                </c:pt>
                <c:pt idx="6">
                  <c:v>2484</c:v>
                </c:pt>
                <c:pt idx="7">
                  <c:v>1192</c:v>
                </c:pt>
                <c:pt idx="8">
                  <c:v>1509</c:v>
                </c:pt>
                <c:pt idx="9">
                  <c:v>1533</c:v>
                </c:pt>
                <c:pt idx="10">
                  <c:v>1664</c:v>
                </c:pt>
                <c:pt idx="11">
                  <c:v>1113</c:v>
                </c:pt>
                <c:pt idx="12">
                  <c:v>742</c:v>
                </c:pt>
                <c:pt idx="13">
                  <c:v>1044</c:v>
                </c:pt>
                <c:pt idx="14">
                  <c:v>2254</c:v>
                </c:pt>
                <c:pt idx="15">
                  <c:v>2093</c:v>
                </c:pt>
                <c:pt idx="16">
                  <c:v>1210</c:v>
                </c:pt>
                <c:pt idx="17">
                  <c:v>1654</c:v>
                </c:pt>
                <c:pt idx="18">
                  <c:v>1573</c:v>
                </c:pt>
                <c:pt idx="19">
                  <c:v>2637</c:v>
                </c:pt>
                <c:pt idx="20">
                  <c:v>1622</c:v>
                </c:pt>
                <c:pt idx="21">
                  <c:v>2582</c:v>
                </c:pt>
                <c:pt idx="22">
                  <c:v>2538</c:v>
                </c:pt>
                <c:pt idx="23">
                  <c:v>674</c:v>
                </c:pt>
                <c:pt idx="24">
                  <c:v>1175</c:v>
                </c:pt>
                <c:pt idx="25">
                  <c:v>1217</c:v>
                </c:pt>
                <c:pt idx="26">
                  <c:v>1157</c:v>
                </c:pt>
                <c:pt idx="27">
                  <c:v>1168</c:v>
                </c:pt>
                <c:pt idx="28">
                  <c:v>1695</c:v>
                </c:pt>
                <c:pt idx="29">
                  <c:v>1141</c:v>
                </c:pt>
                <c:pt idx="30">
                  <c:v>1659</c:v>
                </c:pt>
                <c:pt idx="31">
                  <c:v>1439</c:v>
                </c:pt>
                <c:pt idx="32">
                  <c:v>1529</c:v>
                </c:pt>
                <c:pt idx="33">
                  <c:v>1792</c:v>
                </c:pt>
                <c:pt idx="34">
                  <c:v>1075</c:v>
                </c:pt>
                <c:pt idx="35">
                  <c:v>1450</c:v>
                </c:pt>
                <c:pt idx="36">
                  <c:v>2112</c:v>
                </c:pt>
                <c:pt idx="37">
                  <c:v>1498</c:v>
                </c:pt>
                <c:pt idx="38">
                  <c:v>984</c:v>
                </c:pt>
                <c:pt idx="39">
                  <c:v>1821</c:v>
                </c:pt>
                <c:pt idx="40">
                  <c:v>1824</c:v>
                </c:pt>
                <c:pt idx="41">
                  <c:v>1946</c:v>
                </c:pt>
                <c:pt idx="42">
                  <c:v>2311</c:v>
                </c:pt>
                <c:pt idx="43">
                  <c:v>1870</c:v>
                </c:pt>
                <c:pt idx="44">
                  <c:v>1703</c:v>
                </c:pt>
                <c:pt idx="45">
                  <c:v>1735</c:v>
                </c:pt>
                <c:pt idx="46">
                  <c:v>1587</c:v>
                </c:pt>
                <c:pt idx="47">
                  <c:v>1745</c:v>
                </c:pt>
                <c:pt idx="48">
                  <c:v>1753</c:v>
                </c:pt>
                <c:pt idx="49">
                  <c:v>1985</c:v>
                </c:pt>
                <c:pt idx="50">
                  <c:v>1951</c:v>
                </c:pt>
                <c:pt idx="51">
                  <c:v>1359</c:v>
                </c:pt>
                <c:pt idx="52">
                  <c:v>1814</c:v>
                </c:pt>
                <c:pt idx="53">
                  <c:v>1416</c:v>
                </c:pt>
                <c:pt idx="54">
                  <c:v>1551</c:v>
                </c:pt>
                <c:pt idx="55">
                  <c:v>1783</c:v>
                </c:pt>
                <c:pt idx="56">
                  <c:v>1749</c:v>
                </c:pt>
                <c:pt idx="57">
                  <c:v>1851</c:v>
                </c:pt>
                <c:pt idx="58">
                  <c:v>1836</c:v>
                </c:pt>
                <c:pt idx="59">
                  <c:v>1705</c:v>
                </c:pt>
                <c:pt idx="60">
                  <c:v>1577</c:v>
                </c:pt>
                <c:pt idx="61">
                  <c:v>1470</c:v>
                </c:pt>
                <c:pt idx="62">
                  <c:v>1303</c:v>
                </c:pt>
                <c:pt idx="63">
                  <c:v>1678</c:v>
                </c:pt>
                <c:pt idx="64">
                  <c:v>1805</c:v>
                </c:pt>
                <c:pt idx="65">
                  <c:v>1653</c:v>
                </c:pt>
                <c:pt idx="66">
                  <c:v>1870</c:v>
                </c:pt>
                <c:pt idx="67">
                  <c:v>1763</c:v>
                </c:pt>
                <c:pt idx="68">
                  <c:v>1115</c:v>
                </c:pt>
                <c:pt idx="69">
                  <c:v>1523</c:v>
                </c:pt>
                <c:pt idx="70">
                  <c:v>1912</c:v>
                </c:pt>
                <c:pt idx="71">
                  <c:v>1600</c:v>
                </c:pt>
                <c:pt idx="72">
                  <c:v>1559</c:v>
                </c:pt>
                <c:pt idx="73">
                  <c:v>1608</c:v>
                </c:pt>
                <c:pt idx="74">
                  <c:v>2961</c:v>
                </c:pt>
                <c:pt idx="75">
                  <c:v>1479</c:v>
                </c:pt>
                <c:pt idx="76">
                  <c:v>2142</c:v>
                </c:pt>
                <c:pt idx="77">
                  <c:v>1611</c:v>
                </c:pt>
                <c:pt idx="78">
                  <c:v>1649</c:v>
                </c:pt>
                <c:pt idx="79">
                  <c:v>1819</c:v>
                </c:pt>
                <c:pt idx="80">
                  <c:v>1893</c:v>
                </c:pt>
                <c:pt idx="81">
                  <c:v>1943</c:v>
                </c:pt>
                <c:pt idx="82">
                  <c:v>1624</c:v>
                </c:pt>
                <c:pt idx="83">
                  <c:v>1896</c:v>
                </c:pt>
                <c:pt idx="84">
                  <c:v>1465</c:v>
                </c:pt>
                <c:pt idx="85">
                  <c:v>1763</c:v>
                </c:pt>
                <c:pt idx="86">
                  <c:v>1073</c:v>
                </c:pt>
                <c:pt idx="87">
                  <c:v>1692</c:v>
                </c:pt>
                <c:pt idx="88">
                  <c:v>1800</c:v>
                </c:pt>
                <c:pt idx="89">
                  <c:v>1517</c:v>
                </c:pt>
                <c:pt idx="90">
                  <c:v>1366</c:v>
                </c:pt>
                <c:pt idx="91">
                  <c:v>1814</c:v>
                </c:pt>
                <c:pt idx="92">
                  <c:v>1749</c:v>
                </c:pt>
                <c:pt idx="93">
                  <c:v>1823</c:v>
                </c:pt>
                <c:pt idx="94">
                  <c:v>1647</c:v>
                </c:pt>
                <c:pt idx="95">
                  <c:v>1862</c:v>
                </c:pt>
                <c:pt idx="96">
                  <c:v>1624</c:v>
                </c:pt>
                <c:pt idx="97">
                  <c:v>1711</c:v>
                </c:pt>
                <c:pt idx="98">
                  <c:v>1494</c:v>
                </c:pt>
                <c:pt idx="99">
                  <c:v>1884</c:v>
                </c:pt>
                <c:pt idx="100">
                  <c:v>1725</c:v>
                </c:pt>
                <c:pt idx="101">
                  <c:v>2066</c:v>
                </c:pt>
                <c:pt idx="102">
                  <c:v>1886</c:v>
                </c:pt>
                <c:pt idx="103">
                  <c:v>1458</c:v>
                </c:pt>
                <c:pt idx="104">
                  <c:v>1460</c:v>
                </c:pt>
                <c:pt idx="105">
                  <c:v>1950</c:v>
                </c:pt>
                <c:pt idx="106">
                  <c:v>1550</c:v>
                </c:pt>
                <c:pt idx="107">
                  <c:v>1544</c:v>
                </c:pt>
                <c:pt idx="108">
                  <c:v>2023</c:v>
                </c:pt>
                <c:pt idx="109">
                  <c:v>1827</c:v>
                </c:pt>
                <c:pt idx="110">
                  <c:v>1712</c:v>
                </c:pt>
                <c:pt idx="111">
                  <c:v>1824</c:v>
                </c:pt>
                <c:pt idx="112">
                  <c:v>1489</c:v>
                </c:pt>
                <c:pt idx="113">
                  <c:v>1660</c:v>
                </c:pt>
                <c:pt idx="114">
                  <c:v>3042</c:v>
                </c:pt>
                <c:pt idx="115">
                  <c:v>1593</c:v>
                </c:pt>
                <c:pt idx="116">
                  <c:v>1853</c:v>
                </c:pt>
                <c:pt idx="117">
                  <c:v>1308</c:v>
                </c:pt>
                <c:pt idx="118">
                  <c:v>1333</c:v>
                </c:pt>
                <c:pt idx="119">
                  <c:v>1487</c:v>
                </c:pt>
                <c:pt idx="120">
                  <c:v>1527</c:v>
                </c:pt>
                <c:pt idx="121">
                  <c:v>1513</c:v>
                </c:pt>
                <c:pt idx="122">
                  <c:v>1760</c:v>
                </c:pt>
                <c:pt idx="123">
                  <c:v>1582</c:v>
                </c:pt>
                <c:pt idx="124">
                  <c:v>1397</c:v>
                </c:pt>
                <c:pt idx="125">
                  <c:v>1495</c:v>
                </c:pt>
                <c:pt idx="126">
                  <c:v>1725</c:v>
                </c:pt>
                <c:pt idx="127">
                  <c:v>1782</c:v>
                </c:pt>
                <c:pt idx="128">
                  <c:v>1512</c:v>
                </c:pt>
                <c:pt idx="129">
                  <c:v>1905</c:v>
                </c:pt>
                <c:pt idx="130">
                  <c:v>1886</c:v>
                </c:pt>
                <c:pt idx="131">
                  <c:v>1736</c:v>
                </c:pt>
                <c:pt idx="132">
                  <c:v>1988</c:v>
                </c:pt>
                <c:pt idx="133">
                  <c:v>1809</c:v>
                </c:pt>
                <c:pt idx="134">
                  <c:v>2096</c:v>
                </c:pt>
                <c:pt idx="135">
                  <c:v>1395</c:v>
                </c:pt>
                <c:pt idx="136">
                  <c:v>1514</c:v>
                </c:pt>
                <c:pt idx="137">
                  <c:v>1455</c:v>
                </c:pt>
                <c:pt idx="138">
                  <c:v>1867</c:v>
                </c:pt>
                <c:pt idx="139">
                  <c:v>1302</c:v>
                </c:pt>
                <c:pt idx="140">
                  <c:v>1427</c:v>
                </c:pt>
                <c:pt idx="141">
                  <c:v>1299</c:v>
                </c:pt>
                <c:pt idx="142">
                  <c:v>1611</c:v>
                </c:pt>
                <c:pt idx="143">
                  <c:v>1803</c:v>
                </c:pt>
                <c:pt idx="144">
                  <c:v>1258</c:v>
                </c:pt>
                <c:pt idx="145">
                  <c:v>1530</c:v>
                </c:pt>
                <c:pt idx="146">
                  <c:v>1722</c:v>
                </c:pt>
                <c:pt idx="147">
                  <c:v>2008</c:v>
                </c:pt>
                <c:pt idx="148">
                  <c:v>2042</c:v>
                </c:pt>
                <c:pt idx="149">
                  <c:v>1658</c:v>
                </c:pt>
                <c:pt idx="150">
                  <c:v>1815</c:v>
                </c:pt>
                <c:pt idx="151">
                  <c:v>1783</c:v>
                </c:pt>
                <c:pt idx="152">
                  <c:v>2383</c:v>
                </c:pt>
                <c:pt idx="153">
                  <c:v>1889</c:v>
                </c:pt>
                <c:pt idx="154">
                  <c:v>2054</c:v>
                </c:pt>
                <c:pt idx="155">
                  <c:v>1697</c:v>
                </c:pt>
                <c:pt idx="156">
                  <c:v>1696</c:v>
                </c:pt>
                <c:pt idx="157">
                  <c:v>1906</c:v>
                </c:pt>
                <c:pt idx="158">
                  <c:v>2109</c:v>
                </c:pt>
                <c:pt idx="159">
                  <c:v>1218</c:v>
                </c:pt>
                <c:pt idx="160">
                  <c:v>1573</c:v>
                </c:pt>
                <c:pt idx="161">
                  <c:v>2391</c:v>
                </c:pt>
                <c:pt idx="162">
                  <c:v>2365</c:v>
                </c:pt>
                <c:pt idx="163">
                  <c:v>2131</c:v>
                </c:pt>
                <c:pt idx="164">
                  <c:v>1490</c:v>
                </c:pt>
                <c:pt idx="165">
                  <c:v>1976</c:v>
                </c:pt>
                <c:pt idx="166">
                  <c:v>1187</c:v>
                </c:pt>
                <c:pt idx="167">
                  <c:v>1599</c:v>
                </c:pt>
                <c:pt idx="168">
                  <c:v>1682</c:v>
                </c:pt>
                <c:pt idx="169">
                  <c:v>1805</c:v>
                </c:pt>
                <c:pt idx="170">
                  <c:v>1489</c:v>
                </c:pt>
                <c:pt idx="171">
                  <c:v>1615</c:v>
                </c:pt>
                <c:pt idx="172">
                  <c:v>1651</c:v>
                </c:pt>
                <c:pt idx="173">
                  <c:v>1519</c:v>
                </c:pt>
                <c:pt idx="174">
                  <c:v>1558</c:v>
                </c:pt>
                <c:pt idx="175">
                  <c:v>1657</c:v>
                </c:pt>
                <c:pt idx="176">
                  <c:v>1852</c:v>
                </c:pt>
                <c:pt idx="177">
                  <c:v>1545</c:v>
                </c:pt>
                <c:pt idx="178">
                  <c:v>2086</c:v>
                </c:pt>
                <c:pt idx="179">
                  <c:v>2300</c:v>
                </c:pt>
                <c:pt idx="180">
                  <c:v>1570</c:v>
                </c:pt>
                <c:pt idx="181">
                  <c:v>2452</c:v>
                </c:pt>
                <c:pt idx="182">
                  <c:v>1868</c:v>
                </c:pt>
                <c:pt idx="183">
                  <c:v>2127</c:v>
                </c:pt>
                <c:pt idx="184">
                  <c:v>2053</c:v>
                </c:pt>
                <c:pt idx="185">
                  <c:v>1801</c:v>
                </c:pt>
                <c:pt idx="186">
                  <c:v>1654</c:v>
                </c:pt>
                <c:pt idx="187">
                  <c:v>1433</c:v>
                </c:pt>
                <c:pt idx="188">
                  <c:v>2043</c:v>
                </c:pt>
                <c:pt idx="189">
                  <c:v>1706</c:v>
                </c:pt>
                <c:pt idx="190">
                  <c:v>2101</c:v>
                </c:pt>
                <c:pt idx="191">
                  <c:v>1638</c:v>
                </c:pt>
                <c:pt idx="192">
                  <c:v>1302</c:v>
                </c:pt>
                <c:pt idx="193">
                  <c:v>2257</c:v>
                </c:pt>
                <c:pt idx="194">
                  <c:v>1310</c:v>
                </c:pt>
                <c:pt idx="195">
                  <c:v>1744</c:v>
                </c:pt>
                <c:pt idx="196">
                  <c:v>2101</c:v>
                </c:pt>
                <c:pt idx="197">
                  <c:v>1861</c:v>
                </c:pt>
                <c:pt idx="198">
                  <c:v>2015</c:v>
                </c:pt>
                <c:pt idx="199">
                  <c:v>1964</c:v>
                </c:pt>
                <c:pt idx="200">
                  <c:v>1368</c:v>
                </c:pt>
                <c:pt idx="201">
                  <c:v>1160</c:v>
                </c:pt>
                <c:pt idx="202">
                  <c:v>1731</c:v>
                </c:pt>
                <c:pt idx="203">
                  <c:v>1717</c:v>
                </c:pt>
                <c:pt idx="204">
                  <c:v>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B-4D83-A58C-6B760CC7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708728"/>
        <c:axId val="171713824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基データ!$F$1</c15:sqref>
                        </c15:formulaRef>
                      </c:ext>
                    </c:extLst>
                    <c:strCache>
                      <c:ptCount val="1"/>
                      <c:pt idx="0">
                        <c:v>摂取カロリー</c:v>
                      </c:pt>
                    </c:strCache>
                  </c:strRef>
                </c:tx>
                <c:spPr>
                  <a:solidFill>
                    <a:srgbClr val="C00000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基データ!$A$2:$A$207</c15:sqref>
                        </c15:formulaRef>
                      </c:ext>
                    </c:extLst>
                    <c:numCache>
                      <c:formatCode>m"月"d"日"</c:formatCode>
                      <c:ptCount val="206"/>
                      <c:pt idx="0">
                        <c:v>42485</c:v>
                      </c:pt>
                      <c:pt idx="1">
                        <c:v>42486</c:v>
                      </c:pt>
                      <c:pt idx="2">
                        <c:v>42487</c:v>
                      </c:pt>
                      <c:pt idx="3">
                        <c:v>42488</c:v>
                      </c:pt>
                      <c:pt idx="4">
                        <c:v>42489</c:v>
                      </c:pt>
                      <c:pt idx="5">
                        <c:v>42490</c:v>
                      </c:pt>
                      <c:pt idx="6">
                        <c:v>42491</c:v>
                      </c:pt>
                      <c:pt idx="7">
                        <c:v>42492</c:v>
                      </c:pt>
                      <c:pt idx="8">
                        <c:v>42493</c:v>
                      </c:pt>
                      <c:pt idx="9">
                        <c:v>42494</c:v>
                      </c:pt>
                      <c:pt idx="10">
                        <c:v>42495</c:v>
                      </c:pt>
                      <c:pt idx="11">
                        <c:v>42496</c:v>
                      </c:pt>
                      <c:pt idx="12">
                        <c:v>42497</c:v>
                      </c:pt>
                      <c:pt idx="13">
                        <c:v>42498</c:v>
                      </c:pt>
                      <c:pt idx="14">
                        <c:v>42499</c:v>
                      </c:pt>
                      <c:pt idx="15">
                        <c:v>42500</c:v>
                      </c:pt>
                      <c:pt idx="16">
                        <c:v>42501</c:v>
                      </c:pt>
                      <c:pt idx="17">
                        <c:v>42502</c:v>
                      </c:pt>
                      <c:pt idx="18">
                        <c:v>42503</c:v>
                      </c:pt>
                      <c:pt idx="19">
                        <c:v>42504</c:v>
                      </c:pt>
                      <c:pt idx="20">
                        <c:v>42505</c:v>
                      </c:pt>
                      <c:pt idx="21">
                        <c:v>42506</c:v>
                      </c:pt>
                      <c:pt idx="22">
                        <c:v>42507</c:v>
                      </c:pt>
                      <c:pt idx="23">
                        <c:v>42508</c:v>
                      </c:pt>
                      <c:pt idx="24">
                        <c:v>42509</c:v>
                      </c:pt>
                      <c:pt idx="25">
                        <c:v>42510</c:v>
                      </c:pt>
                      <c:pt idx="26">
                        <c:v>42511</c:v>
                      </c:pt>
                      <c:pt idx="27">
                        <c:v>42512</c:v>
                      </c:pt>
                      <c:pt idx="28">
                        <c:v>42513</c:v>
                      </c:pt>
                      <c:pt idx="29">
                        <c:v>42514</c:v>
                      </c:pt>
                      <c:pt idx="30">
                        <c:v>42515</c:v>
                      </c:pt>
                      <c:pt idx="31">
                        <c:v>42516</c:v>
                      </c:pt>
                      <c:pt idx="32">
                        <c:v>42517</c:v>
                      </c:pt>
                      <c:pt idx="33">
                        <c:v>42518</c:v>
                      </c:pt>
                      <c:pt idx="34">
                        <c:v>42519</c:v>
                      </c:pt>
                      <c:pt idx="35">
                        <c:v>42520</c:v>
                      </c:pt>
                      <c:pt idx="36">
                        <c:v>42521</c:v>
                      </c:pt>
                      <c:pt idx="37">
                        <c:v>42522</c:v>
                      </c:pt>
                      <c:pt idx="38">
                        <c:v>42523</c:v>
                      </c:pt>
                      <c:pt idx="39">
                        <c:v>42524</c:v>
                      </c:pt>
                      <c:pt idx="40">
                        <c:v>42525</c:v>
                      </c:pt>
                      <c:pt idx="41">
                        <c:v>42526</c:v>
                      </c:pt>
                      <c:pt idx="42">
                        <c:v>42527</c:v>
                      </c:pt>
                      <c:pt idx="43">
                        <c:v>42528</c:v>
                      </c:pt>
                      <c:pt idx="44">
                        <c:v>42529</c:v>
                      </c:pt>
                      <c:pt idx="45">
                        <c:v>42530</c:v>
                      </c:pt>
                      <c:pt idx="46">
                        <c:v>42531</c:v>
                      </c:pt>
                      <c:pt idx="47">
                        <c:v>42532</c:v>
                      </c:pt>
                      <c:pt idx="48">
                        <c:v>42533</c:v>
                      </c:pt>
                      <c:pt idx="49">
                        <c:v>42534</c:v>
                      </c:pt>
                      <c:pt idx="50">
                        <c:v>42535</c:v>
                      </c:pt>
                      <c:pt idx="51">
                        <c:v>42536</c:v>
                      </c:pt>
                      <c:pt idx="52">
                        <c:v>42537</c:v>
                      </c:pt>
                      <c:pt idx="53">
                        <c:v>42538</c:v>
                      </c:pt>
                      <c:pt idx="54">
                        <c:v>42539</c:v>
                      </c:pt>
                      <c:pt idx="55">
                        <c:v>42540</c:v>
                      </c:pt>
                      <c:pt idx="56">
                        <c:v>42541</c:v>
                      </c:pt>
                      <c:pt idx="57">
                        <c:v>42542</c:v>
                      </c:pt>
                      <c:pt idx="58">
                        <c:v>42543</c:v>
                      </c:pt>
                      <c:pt idx="59">
                        <c:v>42544</c:v>
                      </c:pt>
                      <c:pt idx="60">
                        <c:v>42545</c:v>
                      </c:pt>
                      <c:pt idx="61">
                        <c:v>42546</c:v>
                      </c:pt>
                      <c:pt idx="62">
                        <c:v>42547</c:v>
                      </c:pt>
                      <c:pt idx="63">
                        <c:v>42548</c:v>
                      </c:pt>
                      <c:pt idx="64">
                        <c:v>42549</c:v>
                      </c:pt>
                      <c:pt idx="65">
                        <c:v>42550</c:v>
                      </c:pt>
                      <c:pt idx="66">
                        <c:v>42551</c:v>
                      </c:pt>
                      <c:pt idx="67">
                        <c:v>42552</c:v>
                      </c:pt>
                      <c:pt idx="68">
                        <c:v>42553</c:v>
                      </c:pt>
                      <c:pt idx="69">
                        <c:v>42554</c:v>
                      </c:pt>
                      <c:pt idx="70">
                        <c:v>42555</c:v>
                      </c:pt>
                      <c:pt idx="71">
                        <c:v>42556</c:v>
                      </c:pt>
                      <c:pt idx="72">
                        <c:v>42557</c:v>
                      </c:pt>
                      <c:pt idx="73">
                        <c:v>42558</c:v>
                      </c:pt>
                      <c:pt idx="74">
                        <c:v>42559</c:v>
                      </c:pt>
                      <c:pt idx="75">
                        <c:v>42560</c:v>
                      </c:pt>
                      <c:pt idx="76">
                        <c:v>42561</c:v>
                      </c:pt>
                      <c:pt idx="77">
                        <c:v>42562</c:v>
                      </c:pt>
                      <c:pt idx="78">
                        <c:v>42563</c:v>
                      </c:pt>
                      <c:pt idx="79">
                        <c:v>42564</c:v>
                      </c:pt>
                      <c:pt idx="80">
                        <c:v>42565</c:v>
                      </c:pt>
                      <c:pt idx="81">
                        <c:v>42566</c:v>
                      </c:pt>
                      <c:pt idx="82">
                        <c:v>42567</c:v>
                      </c:pt>
                      <c:pt idx="83">
                        <c:v>42568</c:v>
                      </c:pt>
                      <c:pt idx="84">
                        <c:v>42569</c:v>
                      </c:pt>
                      <c:pt idx="85">
                        <c:v>42570</c:v>
                      </c:pt>
                      <c:pt idx="86">
                        <c:v>42571</c:v>
                      </c:pt>
                      <c:pt idx="87">
                        <c:v>42572</c:v>
                      </c:pt>
                      <c:pt idx="88">
                        <c:v>42573</c:v>
                      </c:pt>
                      <c:pt idx="89">
                        <c:v>42574</c:v>
                      </c:pt>
                      <c:pt idx="90">
                        <c:v>42575</c:v>
                      </c:pt>
                      <c:pt idx="91">
                        <c:v>42576</c:v>
                      </c:pt>
                      <c:pt idx="92">
                        <c:v>42577</c:v>
                      </c:pt>
                      <c:pt idx="93">
                        <c:v>42578</c:v>
                      </c:pt>
                      <c:pt idx="94">
                        <c:v>42579</c:v>
                      </c:pt>
                      <c:pt idx="95">
                        <c:v>42580</c:v>
                      </c:pt>
                      <c:pt idx="96">
                        <c:v>42581</c:v>
                      </c:pt>
                      <c:pt idx="97">
                        <c:v>42582</c:v>
                      </c:pt>
                      <c:pt idx="98">
                        <c:v>42583</c:v>
                      </c:pt>
                      <c:pt idx="99">
                        <c:v>42584</c:v>
                      </c:pt>
                      <c:pt idx="100">
                        <c:v>42585</c:v>
                      </c:pt>
                      <c:pt idx="101">
                        <c:v>42586</c:v>
                      </c:pt>
                      <c:pt idx="102">
                        <c:v>42587</c:v>
                      </c:pt>
                      <c:pt idx="103">
                        <c:v>42588</c:v>
                      </c:pt>
                      <c:pt idx="104">
                        <c:v>42589</c:v>
                      </c:pt>
                      <c:pt idx="105">
                        <c:v>42590</c:v>
                      </c:pt>
                      <c:pt idx="106">
                        <c:v>42591</c:v>
                      </c:pt>
                      <c:pt idx="107">
                        <c:v>42592</c:v>
                      </c:pt>
                      <c:pt idx="108">
                        <c:v>42593</c:v>
                      </c:pt>
                      <c:pt idx="109">
                        <c:v>42594</c:v>
                      </c:pt>
                      <c:pt idx="110">
                        <c:v>42595</c:v>
                      </c:pt>
                      <c:pt idx="111">
                        <c:v>42596</c:v>
                      </c:pt>
                      <c:pt idx="112">
                        <c:v>42597</c:v>
                      </c:pt>
                      <c:pt idx="113">
                        <c:v>42598</c:v>
                      </c:pt>
                      <c:pt idx="114">
                        <c:v>42599</c:v>
                      </c:pt>
                      <c:pt idx="115">
                        <c:v>42600</c:v>
                      </c:pt>
                      <c:pt idx="116">
                        <c:v>42601</c:v>
                      </c:pt>
                      <c:pt idx="117">
                        <c:v>42602</c:v>
                      </c:pt>
                      <c:pt idx="118">
                        <c:v>42603</c:v>
                      </c:pt>
                      <c:pt idx="119">
                        <c:v>42604</c:v>
                      </c:pt>
                      <c:pt idx="120">
                        <c:v>42605</c:v>
                      </c:pt>
                      <c:pt idx="121">
                        <c:v>42606</c:v>
                      </c:pt>
                      <c:pt idx="122">
                        <c:v>42607</c:v>
                      </c:pt>
                      <c:pt idx="123">
                        <c:v>42608</c:v>
                      </c:pt>
                      <c:pt idx="124">
                        <c:v>42609</c:v>
                      </c:pt>
                      <c:pt idx="125">
                        <c:v>42610</c:v>
                      </c:pt>
                      <c:pt idx="126">
                        <c:v>42611</c:v>
                      </c:pt>
                      <c:pt idx="127">
                        <c:v>42612</c:v>
                      </c:pt>
                      <c:pt idx="128">
                        <c:v>42613</c:v>
                      </c:pt>
                      <c:pt idx="129">
                        <c:v>42614</c:v>
                      </c:pt>
                      <c:pt idx="130">
                        <c:v>42615</c:v>
                      </c:pt>
                      <c:pt idx="131">
                        <c:v>42616</c:v>
                      </c:pt>
                      <c:pt idx="132">
                        <c:v>42617</c:v>
                      </c:pt>
                      <c:pt idx="133">
                        <c:v>42618</c:v>
                      </c:pt>
                      <c:pt idx="134">
                        <c:v>42619</c:v>
                      </c:pt>
                      <c:pt idx="135">
                        <c:v>42620</c:v>
                      </c:pt>
                      <c:pt idx="136">
                        <c:v>42621</c:v>
                      </c:pt>
                      <c:pt idx="137">
                        <c:v>42622</c:v>
                      </c:pt>
                      <c:pt idx="138">
                        <c:v>42623</c:v>
                      </c:pt>
                      <c:pt idx="139">
                        <c:v>42624</c:v>
                      </c:pt>
                      <c:pt idx="140">
                        <c:v>42625</c:v>
                      </c:pt>
                      <c:pt idx="141">
                        <c:v>42626</c:v>
                      </c:pt>
                      <c:pt idx="142">
                        <c:v>42627</c:v>
                      </c:pt>
                      <c:pt idx="143">
                        <c:v>42628</c:v>
                      </c:pt>
                      <c:pt idx="144">
                        <c:v>42629</c:v>
                      </c:pt>
                      <c:pt idx="145">
                        <c:v>42630</c:v>
                      </c:pt>
                      <c:pt idx="146">
                        <c:v>42631</c:v>
                      </c:pt>
                      <c:pt idx="147">
                        <c:v>42632</c:v>
                      </c:pt>
                      <c:pt idx="148">
                        <c:v>42633</c:v>
                      </c:pt>
                      <c:pt idx="149">
                        <c:v>42634</c:v>
                      </c:pt>
                      <c:pt idx="150">
                        <c:v>42635</c:v>
                      </c:pt>
                      <c:pt idx="151">
                        <c:v>42636</c:v>
                      </c:pt>
                      <c:pt idx="152">
                        <c:v>42637</c:v>
                      </c:pt>
                      <c:pt idx="153">
                        <c:v>42638</c:v>
                      </c:pt>
                      <c:pt idx="154">
                        <c:v>42639</c:v>
                      </c:pt>
                      <c:pt idx="155">
                        <c:v>42640</c:v>
                      </c:pt>
                      <c:pt idx="156">
                        <c:v>42641</c:v>
                      </c:pt>
                      <c:pt idx="157">
                        <c:v>42642</c:v>
                      </c:pt>
                      <c:pt idx="158">
                        <c:v>42643</c:v>
                      </c:pt>
                      <c:pt idx="159">
                        <c:v>42644</c:v>
                      </c:pt>
                      <c:pt idx="160">
                        <c:v>42645</c:v>
                      </c:pt>
                      <c:pt idx="161">
                        <c:v>42646</c:v>
                      </c:pt>
                      <c:pt idx="162">
                        <c:v>42647</c:v>
                      </c:pt>
                      <c:pt idx="163">
                        <c:v>42648</c:v>
                      </c:pt>
                      <c:pt idx="164">
                        <c:v>42649</c:v>
                      </c:pt>
                      <c:pt idx="165">
                        <c:v>42650</c:v>
                      </c:pt>
                      <c:pt idx="166">
                        <c:v>42651</c:v>
                      </c:pt>
                      <c:pt idx="167">
                        <c:v>42652</c:v>
                      </c:pt>
                      <c:pt idx="168">
                        <c:v>42653</c:v>
                      </c:pt>
                      <c:pt idx="169">
                        <c:v>42654</c:v>
                      </c:pt>
                      <c:pt idx="170">
                        <c:v>42655</c:v>
                      </c:pt>
                      <c:pt idx="171">
                        <c:v>42656</c:v>
                      </c:pt>
                      <c:pt idx="172">
                        <c:v>42657</c:v>
                      </c:pt>
                      <c:pt idx="173">
                        <c:v>42658</c:v>
                      </c:pt>
                      <c:pt idx="174">
                        <c:v>42659</c:v>
                      </c:pt>
                      <c:pt idx="175">
                        <c:v>42660</c:v>
                      </c:pt>
                      <c:pt idx="176">
                        <c:v>42661</c:v>
                      </c:pt>
                      <c:pt idx="177">
                        <c:v>42662</c:v>
                      </c:pt>
                      <c:pt idx="178">
                        <c:v>42663</c:v>
                      </c:pt>
                      <c:pt idx="179">
                        <c:v>42664</c:v>
                      </c:pt>
                      <c:pt idx="180">
                        <c:v>42665</c:v>
                      </c:pt>
                      <c:pt idx="181">
                        <c:v>42666</c:v>
                      </c:pt>
                      <c:pt idx="182">
                        <c:v>42667</c:v>
                      </c:pt>
                      <c:pt idx="183">
                        <c:v>42668</c:v>
                      </c:pt>
                      <c:pt idx="184">
                        <c:v>42669</c:v>
                      </c:pt>
                      <c:pt idx="185">
                        <c:v>42670</c:v>
                      </c:pt>
                      <c:pt idx="186">
                        <c:v>42671</c:v>
                      </c:pt>
                      <c:pt idx="187">
                        <c:v>42672</c:v>
                      </c:pt>
                      <c:pt idx="188">
                        <c:v>42673</c:v>
                      </c:pt>
                      <c:pt idx="189">
                        <c:v>42674</c:v>
                      </c:pt>
                      <c:pt idx="190">
                        <c:v>42675</c:v>
                      </c:pt>
                      <c:pt idx="191">
                        <c:v>42676</c:v>
                      </c:pt>
                      <c:pt idx="192">
                        <c:v>42677</c:v>
                      </c:pt>
                      <c:pt idx="193">
                        <c:v>42678</c:v>
                      </c:pt>
                      <c:pt idx="194">
                        <c:v>42679</c:v>
                      </c:pt>
                      <c:pt idx="195">
                        <c:v>42680</c:v>
                      </c:pt>
                      <c:pt idx="196">
                        <c:v>42681</c:v>
                      </c:pt>
                      <c:pt idx="197">
                        <c:v>42682</c:v>
                      </c:pt>
                      <c:pt idx="198">
                        <c:v>42683</c:v>
                      </c:pt>
                      <c:pt idx="199">
                        <c:v>42684</c:v>
                      </c:pt>
                      <c:pt idx="200">
                        <c:v>42685</c:v>
                      </c:pt>
                      <c:pt idx="201">
                        <c:v>42686</c:v>
                      </c:pt>
                      <c:pt idx="202">
                        <c:v>42687</c:v>
                      </c:pt>
                      <c:pt idx="203">
                        <c:v>42688</c:v>
                      </c:pt>
                      <c:pt idx="204">
                        <c:v>42689</c:v>
                      </c:pt>
                      <c:pt idx="205">
                        <c:v>42690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基データ!$F$2:$F$207</c15:sqref>
                        </c15:formulaRef>
                      </c:ext>
                    </c:extLst>
                    <c:numCache>
                      <c:formatCode>General</c:formatCode>
                      <c:ptCount val="206"/>
                      <c:pt idx="0">
                        <c:v>982</c:v>
                      </c:pt>
                      <c:pt idx="1">
                        <c:v>2574</c:v>
                      </c:pt>
                      <c:pt idx="2">
                        <c:v>1092</c:v>
                      </c:pt>
                      <c:pt idx="3">
                        <c:v>1516</c:v>
                      </c:pt>
                      <c:pt idx="4">
                        <c:v>1228</c:v>
                      </c:pt>
                      <c:pt idx="5">
                        <c:v>2150</c:v>
                      </c:pt>
                      <c:pt idx="6">
                        <c:v>3117</c:v>
                      </c:pt>
                      <c:pt idx="7">
                        <c:v>1432</c:v>
                      </c:pt>
                      <c:pt idx="8">
                        <c:v>1829</c:v>
                      </c:pt>
                      <c:pt idx="9">
                        <c:v>2022</c:v>
                      </c:pt>
                      <c:pt idx="10">
                        <c:v>2494</c:v>
                      </c:pt>
                      <c:pt idx="11">
                        <c:v>2680</c:v>
                      </c:pt>
                      <c:pt idx="12">
                        <c:v>1350</c:v>
                      </c:pt>
                      <c:pt idx="13">
                        <c:v>1656</c:v>
                      </c:pt>
                      <c:pt idx="14">
                        <c:v>3511</c:v>
                      </c:pt>
                      <c:pt idx="15">
                        <c:v>2093</c:v>
                      </c:pt>
                      <c:pt idx="16">
                        <c:v>1494</c:v>
                      </c:pt>
                      <c:pt idx="17">
                        <c:v>1996</c:v>
                      </c:pt>
                      <c:pt idx="18">
                        <c:v>2301</c:v>
                      </c:pt>
                      <c:pt idx="19">
                        <c:v>3487</c:v>
                      </c:pt>
                      <c:pt idx="20">
                        <c:v>1928</c:v>
                      </c:pt>
                      <c:pt idx="21">
                        <c:v>2984</c:v>
                      </c:pt>
                      <c:pt idx="22">
                        <c:v>3732</c:v>
                      </c:pt>
                      <c:pt idx="23">
                        <c:v>980</c:v>
                      </c:pt>
                      <c:pt idx="24">
                        <c:v>1601</c:v>
                      </c:pt>
                      <c:pt idx="25">
                        <c:v>2047</c:v>
                      </c:pt>
                      <c:pt idx="26">
                        <c:v>1565</c:v>
                      </c:pt>
                      <c:pt idx="27">
                        <c:v>1851</c:v>
                      </c:pt>
                      <c:pt idx="28">
                        <c:v>2960</c:v>
                      </c:pt>
                      <c:pt idx="29">
                        <c:v>1345</c:v>
                      </c:pt>
                      <c:pt idx="30">
                        <c:v>2067</c:v>
                      </c:pt>
                      <c:pt idx="31">
                        <c:v>1745</c:v>
                      </c:pt>
                      <c:pt idx="32">
                        <c:v>2141</c:v>
                      </c:pt>
                      <c:pt idx="33">
                        <c:v>2098</c:v>
                      </c:pt>
                      <c:pt idx="34">
                        <c:v>1468</c:v>
                      </c:pt>
                      <c:pt idx="35">
                        <c:v>1851</c:v>
                      </c:pt>
                      <c:pt idx="36">
                        <c:v>2724</c:v>
                      </c:pt>
                      <c:pt idx="37">
                        <c:v>2212</c:v>
                      </c:pt>
                      <c:pt idx="38">
                        <c:v>2396</c:v>
                      </c:pt>
                      <c:pt idx="39">
                        <c:v>3131</c:v>
                      </c:pt>
                      <c:pt idx="40">
                        <c:v>2436</c:v>
                      </c:pt>
                      <c:pt idx="41">
                        <c:v>2456</c:v>
                      </c:pt>
                      <c:pt idx="42">
                        <c:v>3089</c:v>
                      </c:pt>
                      <c:pt idx="43">
                        <c:v>1870</c:v>
                      </c:pt>
                      <c:pt idx="44">
                        <c:v>2009</c:v>
                      </c:pt>
                      <c:pt idx="45">
                        <c:v>2041</c:v>
                      </c:pt>
                      <c:pt idx="46">
                        <c:v>2374</c:v>
                      </c:pt>
                      <c:pt idx="47">
                        <c:v>2491</c:v>
                      </c:pt>
                      <c:pt idx="48">
                        <c:v>2137</c:v>
                      </c:pt>
                      <c:pt idx="49">
                        <c:v>2653</c:v>
                      </c:pt>
                      <c:pt idx="50">
                        <c:v>2440</c:v>
                      </c:pt>
                      <c:pt idx="51">
                        <c:v>1801</c:v>
                      </c:pt>
                      <c:pt idx="52">
                        <c:v>1933</c:v>
                      </c:pt>
                      <c:pt idx="53">
                        <c:v>2738</c:v>
                      </c:pt>
                      <c:pt idx="54">
                        <c:v>1908</c:v>
                      </c:pt>
                      <c:pt idx="55">
                        <c:v>2213</c:v>
                      </c:pt>
                      <c:pt idx="56">
                        <c:v>2114</c:v>
                      </c:pt>
                      <c:pt idx="57">
                        <c:v>2229</c:v>
                      </c:pt>
                      <c:pt idx="58">
                        <c:v>2193</c:v>
                      </c:pt>
                      <c:pt idx="59">
                        <c:v>2901</c:v>
                      </c:pt>
                      <c:pt idx="60">
                        <c:v>2324</c:v>
                      </c:pt>
                      <c:pt idx="61">
                        <c:v>2324</c:v>
                      </c:pt>
                      <c:pt idx="62">
                        <c:v>1733</c:v>
                      </c:pt>
                      <c:pt idx="63">
                        <c:v>2005</c:v>
                      </c:pt>
                      <c:pt idx="64">
                        <c:v>2186</c:v>
                      </c:pt>
                      <c:pt idx="65">
                        <c:v>2080</c:v>
                      </c:pt>
                      <c:pt idx="66">
                        <c:v>2162</c:v>
                      </c:pt>
                      <c:pt idx="67">
                        <c:v>3191</c:v>
                      </c:pt>
                      <c:pt idx="68">
                        <c:v>1784</c:v>
                      </c:pt>
                      <c:pt idx="69">
                        <c:v>1907</c:v>
                      </c:pt>
                      <c:pt idx="70">
                        <c:v>2450</c:v>
                      </c:pt>
                      <c:pt idx="71">
                        <c:v>2253</c:v>
                      </c:pt>
                      <c:pt idx="72">
                        <c:v>2350</c:v>
                      </c:pt>
                      <c:pt idx="73">
                        <c:v>1965</c:v>
                      </c:pt>
                      <c:pt idx="74">
                        <c:v>3945</c:v>
                      </c:pt>
                      <c:pt idx="75">
                        <c:v>2101</c:v>
                      </c:pt>
                      <c:pt idx="76">
                        <c:v>2520</c:v>
                      </c:pt>
                      <c:pt idx="77">
                        <c:v>2287</c:v>
                      </c:pt>
                      <c:pt idx="78">
                        <c:v>2255</c:v>
                      </c:pt>
                      <c:pt idx="79">
                        <c:v>2165</c:v>
                      </c:pt>
                      <c:pt idx="80">
                        <c:v>2305</c:v>
                      </c:pt>
                      <c:pt idx="81">
                        <c:v>2389</c:v>
                      </c:pt>
                      <c:pt idx="82">
                        <c:v>2008</c:v>
                      </c:pt>
                      <c:pt idx="83">
                        <c:v>2150</c:v>
                      </c:pt>
                      <c:pt idx="84">
                        <c:v>2060</c:v>
                      </c:pt>
                      <c:pt idx="85">
                        <c:v>2432</c:v>
                      </c:pt>
                      <c:pt idx="86">
                        <c:v>1861</c:v>
                      </c:pt>
                      <c:pt idx="87">
                        <c:v>2828</c:v>
                      </c:pt>
                      <c:pt idx="88">
                        <c:v>2722</c:v>
                      </c:pt>
                      <c:pt idx="89">
                        <c:v>1828</c:v>
                      </c:pt>
                      <c:pt idx="90">
                        <c:v>2768</c:v>
                      </c:pt>
                      <c:pt idx="91">
                        <c:v>2033</c:v>
                      </c:pt>
                      <c:pt idx="92">
                        <c:v>2539</c:v>
                      </c:pt>
                      <c:pt idx="93">
                        <c:v>2098</c:v>
                      </c:pt>
                      <c:pt idx="94">
                        <c:v>2033</c:v>
                      </c:pt>
                      <c:pt idx="95">
                        <c:v>2891</c:v>
                      </c:pt>
                      <c:pt idx="96">
                        <c:v>2172</c:v>
                      </c:pt>
                      <c:pt idx="97">
                        <c:v>1711</c:v>
                      </c:pt>
                      <c:pt idx="98">
                        <c:v>2163</c:v>
                      </c:pt>
                      <c:pt idx="99">
                        <c:v>2441</c:v>
                      </c:pt>
                      <c:pt idx="100">
                        <c:v>2103</c:v>
                      </c:pt>
                      <c:pt idx="101">
                        <c:v>3015</c:v>
                      </c:pt>
                      <c:pt idx="102">
                        <c:v>2953</c:v>
                      </c:pt>
                      <c:pt idx="103">
                        <c:v>2626</c:v>
                      </c:pt>
                      <c:pt idx="104">
                        <c:v>1871</c:v>
                      </c:pt>
                      <c:pt idx="105">
                        <c:v>2795</c:v>
                      </c:pt>
                      <c:pt idx="106">
                        <c:v>1945</c:v>
                      </c:pt>
                      <c:pt idx="107">
                        <c:v>2052</c:v>
                      </c:pt>
                      <c:pt idx="108">
                        <c:v>2750</c:v>
                      </c:pt>
                      <c:pt idx="109">
                        <c:v>2180</c:v>
                      </c:pt>
                      <c:pt idx="110">
                        <c:v>2426</c:v>
                      </c:pt>
                      <c:pt idx="111">
                        <c:v>2311</c:v>
                      </c:pt>
                      <c:pt idx="112">
                        <c:v>1965</c:v>
                      </c:pt>
                      <c:pt idx="113">
                        <c:v>2017</c:v>
                      </c:pt>
                      <c:pt idx="114">
                        <c:v>4778</c:v>
                      </c:pt>
                      <c:pt idx="115">
                        <c:v>1915</c:v>
                      </c:pt>
                      <c:pt idx="116">
                        <c:v>2448</c:v>
                      </c:pt>
                      <c:pt idx="117">
                        <c:v>1915</c:v>
                      </c:pt>
                      <c:pt idx="118">
                        <c:v>1939</c:v>
                      </c:pt>
                      <c:pt idx="119">
                        <c:v>2175</c:v>
                      </c:pt>
                      <c:pt idx="120">
                        <c:v>1984</c:v>
                      </c:pt>
                      <c:pt idx="121">
                        <c:v>2594</c:v>
                      </c:pt>
                      <c:pt idx="122">
                        <c:v>2538</c:v>
                      </c:pt>
                      <c:pt idx="123">
                        <c:v>2258</c:v>
                      </c:pt>
                      <c:pt idx="124">
                        <c:v>2142</c:v>
                      </c:pt>
                      <c:pt idx="125">
                        <c:v>1971</c:v>
                      </c:pt>
                      <c:pt idx="126">
                        <c:v>2285</c:v>
                      </c:pt>
                      <c:pt idx="127">
                        <c:v>2632</c:v>
                      </c:pt>
                      <c:pt idx="128">
                        <c:v>2001</c:v>
                      </c:pt>
                      <c:pt idx="129">
                        <c:v>2596</c:v>
                      </c:pt>
                      <c:pt idx="130">
                        <c:v>2413</c:v>
                      </c:pt>
                      <c:pt idx="131">
                        <c:v>2212</c:v>
                      </c:pt>
                      <c:pt idx="132">
                        <c:v>2441</c:v>
                      </c:pt>
                      <c:pt idx="133">
                        <c:v>2164</c:v>
                      </c:pt>
                      <c:pt idx="134">
                        <c:v>3026</c:v>
                      </c:pt>
                      <c:pt idx="135">
                        <c:v>2071</c:v>
                      </c:pt>
                      <c:pt idx="136">
                        <c:v>1896</c:v>
                      </c:pt>
                      <c:pt idx="137">
                        <c:v>1961</c:v>
                      </c:pt>
                      <c:pt idx="138">
                        <c:v>2229</c:v>
                      </c:pt>
                      <c:pt idx="139">
                        <c:v>1968</c:v>
                      </c:pt>
                      <c:pt idx="140">
                        <c:v>1884</c:v>
                      </c:pt>
                      <c:pt idx="141">
                        <c:v>1677</c:v>
                      </c:pt>
                      <c:pt idx="142">
                        <c:v>2260</c:v>
                      </c:pt>
                      <c:pt idx="143">
                        <c:v>2829</c:v>
                      </c:pt>
                      <c:pt idx="144">
                        <c:v>2093</c:v>
                      </c:pt>
                      <c:pt idx="145">
                        <c:v>2825</c:v>
                      </c:pt>
                      <c:pt idx="146">
                        <c:v>2157</c:v>
                      </c:pt>
                      <c:pt idx="147">
                        <c:v>2612</c:v>
                      </c:pt>
                      <c:pt idx="148">
                        <c:v>2572</c:v>
                      </c:pt>
                      <c:pt idx="149">
                        <c:v>2274</c:v>
                      </c:pt>
                      <c:pt idx="150">
                        <c:v>2126</c:v>
                      </c:pt>
                      <c:pt idx="151">
                        <c:v>2688</c:v>
                      </c:pt>
                      <c:pt idx="152">
                        <c:v>3106</c:v>
                      </c:pt>
                      <c:pt idx="153">
                        <c:v>2330</c:v>
                      </c:pt>
                      <c:pt idx="154">
                        <c:v>2562</c:v>
                      </c:pt>
                      <c:pt idx="155">
                        <c:v>2153</c:v>
                      </c:pt>
                      <c:pt idx="156">
                        <c:v>2204</c:v>
                      </c:pt>
                      <c:pt idx="157">
                        <c:v>2713</c:v>
                      </c:pt>
                      <c:pt idx="158">
                        <c:v>3711</c:v>
                      </c:pt>
                      <c:pt idx="159">
                        <c:v>1894</c:v>
                      </c:pt>
                      <c:pt idx="160">
                        <c:v>2169</c:v>
                      </c:pt>
                      <c:pt idx="161">
                        <c:v>3138</c:v>
                      </c:pt>
                      <c:pt idx="162">
                        <c:v>3071</c:v>
                      </c:pt>
                      <c:pt idx="163">
                        <c:v>2866</c:v>
                      </c:pt>
                      <c:pt idx="164">
                        <c:v>2266</c:v>
                      </c:pt>
                      <c:pt idx="165">
                        <c:v>4378</c:v>
                      </c:pt>
                      <c:pt idx="166">
                        <c:v>1793</c:v>
                      </c:pt>
                      <c:pt idx="167">
                        <c:v>2272</c:v>
                      </c:pt>
                      <c:pt idx="168">
                        <c:v>2183</c:v>
                      </c:pt>
                      <c:pt idx="169">
                        <c:v>2143</c:v>
                      </c:pt>
                      <c:pt idx="170">
                        <c:v>2959</c:v>
                      </c:pt>
                      <c:pt idx="171">
                        <c:v>2028</c:v>
                      </c:pt>
                      <c:pt idx="172">
                        <c:v>2381</c:v>
                      </c:pt>
                      <c:pt idx="173">
                        <c:v>1976</c:v>
                      </c:pt>
                      <c:pt idx="174">
                        <c:v>2015</c:v>
                      </c:pt>
                      <c:pt idx="175">
                        <c:v>2026</c:v>
                      </c:pt>
                      <c:pt idx="176">
                        <c:v>2453</c:v>
                      </c:pt>
                      <c:pt idx="177">
                        <c:v>2012</c:v>
                      </c:pt>
                      <c:pt idx="178">
                        <c:v>3097</c:v>
                      </c:pt>
                      <c:pt idx="179">
                        <c:v>2995</c:v>
                      </c:pt>
                      <c:pt idx="180">
                        <c:v>1918</c:v>
                      </c:pt>
                      <c:pt idx="181">
                        <c:v>3232</c:v>
                      </c:pt>
                      <c:pt idx="182">
                        <c:v>2206</c:v>
                      </c:pt>
                      <c:pt idx="183">
                        <c:v>2854</c:v>
                      </c:pt>
                      <c:pt idx="184">
                        <c:v>2435</c:v>
                      </c:pt>
                      <c:pt idx="185">
                        <c:v>2624</c:v>
                      </c:pt>
                      <c:pt idx="186">
                        <c:v>2184</c:v>
                      </c:pt>
                      <c:pt idx="187">
                        <c:v>2128</c:v>
                      </c:pt>
                      <c:pt idx="188">
                        <c:v>2443</c:v>
                      </c:pt>
                      <c:pt idx="189">
                        <c:v>2237</c:v>
                      </c:pt>
                      <c:pt idx="190">
                        <c:v>2351</c:v>
                      </c:pt>
                      <c:pt idx="191">
                        <c:v>2896</c:v>
                      </c:pt>
                      <c:pt idx="192">
                        <c:v>1737</c:v>
                      </c:pt>
                      <c:pt idx="193">
                        <c:v>3264</c:v>
                      </c:pt>
                      <c:pt idx="194">
                        <c:v>2503</c:v>
                      </c:pt>
                      <c:pt idx="195">
                        <c:v>2218</c:v>
                      </c:pt>
                      <c:pt idx="196">
                        <c:v>2761</c:v>
                      </c:pt>
                      <c:pt idx="197">
                        <c:v>2155</c:v>
                      </c:pt>
                      <c:pt idx="198">
                        <c:v>2924</c:v>
                      </c:pt>
                      <c:pt idx="199">
                        <c:v>2824</c:v>
                      </c:pt>
                      <c:pt idx="200">
                        <c:v>2198</c:v>
                      </c:pt>
                      <c:pt idx="201">
                        <c:v>1667</c:v>
                      </c:pt>
                      <c:pt idx="202">
                        <c:v>2271</c:v>
                      </c:pt>
                      <c:pt idx="203">
                        <c:v>2106</c:v>
                      </c:pt>
                      <c:pt idx="204">
                        <c:v>3399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32D-460E-94FE-4B217C0334F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基データ!$B$1</c:f>
              <c:strCache>
                <c:ptCount val="1"/>
                <c:pt idx="0">
                  <c:v>朝体重(Kg)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基データ!$B$2:$B$207</c:f>
              <c:numCache>
                <c:formatCode>General</c:formatCode>
                <c:ptCount val="206"/>
                <c:pt idx="0">
                  <c:v>82.4</c:v>
                </c:pt>
                <c:pt idx="1">
                  <c:v>82.4</c:v>
                </c:pt>
                <c:pt idx="2">
                  <c:v>83</c:v>
                </c:pt>
                <c:pt idx="3">
                  <c:v>82.4</c:v>
                </c:pt>
                <c:pt idx="4">
                  <c:v>81.400000000000006</c:v>
                </c:pt>
                <c:pt idx="5">
                  <c:v>81.400000000000006</c:v>
                </c:pt>
                <c:pt idx="6">
                  <c:v>81.400000000000006</c:v>
                </c:pt>
                <c:pt idx="7">
                  <c:v>81.599999999999994</c:v>
                </c:pt>
                <c:pt idx="8">
                  <c:v>80.8</c:v>
                </c:pt>
                <c:pt idx="9">
                  <c:v>80.8</c:v>
                </c:pt>
                <c:pt idx="10">
                  <c:v>80.8</c:v>
                </c:pt>
                <c:pt idx="11">
                  <c:v>80.8</c:v>
                </c:pt>
                <c:pt idx="12">
                  <c:v>81.3</c:v>
                </c:pt>
                <c:pt idx="13">
                  <c:v>80.599999999999994</c:v>
                </c:pt>
                <c:pt idx="14">
                  <c:v>80.599999999999994</c:v>
                </c:pt>
                <c:pt idx="15">
                  <c:v>80.599999999999994</c:v>
                </c:pt>
                <c:pt idx="16">
                  <c:v>80.599999999999994</c:v>
                </c:pt>
                <c:pt idx="17">
                  <c:v>79.8</c:v>
                </c:pt>
                <c:pt idx="18">
                  <c:v>79.8</c:v>
                </c:pt>
                <c:pt idx="19">
                  <c:v>79.8</c:v>
                </c:pt>
                <c:pt idx="20">
                  <c:v>79.8</c:v>
                </c:pt>
                <c:pt idx="21">
                  <c:v>79.3</c:v>
                </c:pt>
                <c:pt idx="22">
                  <c:v>79.3</c:v>
                </c:pt>
                <c:pt idx="23">
                  <c:v>80.5</c:v>
                </c:pt>
                <c:pt idx="24">
                  <c:v>79.3</c:v>
                </c:pt>
                <c:pt idx="25">
                  <c:v>79.3</c:v>
                </c:pt>
                <c:pt idx="26">
                  <c:v>79.3</c:v>
                </c:pt>
                <c:pt idx="27">
                  <c:v>79</c:v>
                </c:pt>
                <c:pt idx="28">
                  <c:v>78.8</c:v>
                </c:pt>
                <c:pt idx="29">
                  <c:v>79.2</c:v>
                </c:pt>
                <c:pt idx="30">
                  <c:v>78.400000000000006</c:v>
                </c:pt>
                <c:pt idx="31">
                  <c:v>78.900000000000006</c:v>
                </c:pt>
                <c:pt idx="32">
                  <c:v>78.2</c:v>
                </c:pt>
                <c:pt idx="33">
                  <c:v>78.7</c:v>
                </c:pt>
                <c:pt idx="34">
                  <c:v>78.7</c:v>
                </c:pt>
                <c:pt idx="35">
                  <c:v>78.400000000000006</c:v>
                </c:pt>
                <c:pt idx="36">
                  <c:v>78.400000000000006</c:v>
                </c:pt>
                <c:pt idx="37">
                  <c:v>79.2</c:v>
                </c:pt>
                <c:pt idx="38">
                  <c:v>78.400000000000006</c:v>
                </c:pt>
                <c:pt idx="39">
                  <c:v>78.3</c:v>
                </c:pt>
                <c:pt idx="40">
                  <c:v>78.400000000000006</c:v>
                </c:pt>
                <c:pt idx="41">
                  <c:v>78.8</c:v>
                </c:pt>
                <c:pt idx="42">
                  <c:v>78.8</c:v>
                </c:pt>
                <c:pt idx="43">
                  <c:v>79.2</c:v>
                </c:pt>
                <c:pt idx="44">
                  <c:v>78.5</c:v>
                </c:pt>
                <c:pt idx="45">
                  <c:v>78.5</c:v>
                </c:pt>
                <c:pt idx="46">
                  <c:v>77.900000000000006</c:v>
                </c:pt>
                <c:pt idx="47">
                  <c:v>78.400000000000006</c:v>
                </c:pt>
                <c:pt idx="48">
                  <c:v>78.099999999999994</c:v>
                </c:pt>
                <c:pt idx="49">
                  <c:v>78.099999999999994</c:v>
                </c:pt>
                <c:pt idx="50">
                  <c:v>78.5</c:v>
                </c:pt>
                <c:pt idx="51">
                  <c:v>79</c:v>
                </c:pt>
                <c:pt idx="52">
                  <c:v>77.599999999999994</c:v>
                </c:pt>
                <c:pt idx="53">
                  <c:v>77.599999999999994</c:v>
                </c:pt>
                <c:pt idx="54">
                  <c:v>78.099999999999994</c:v>
                </c:pt>
                <c:pt idx="55">
                  <c:v>77.5</c:v>
                </c:pt>
                <c:pt idx="56">
                  <c:v>77</c:v>
                </c:pt>
                <c:pt idx="57">
                  <c:v>77</c:v>
                </c:pt>
                <c:pt idx="58">
                  <c:v>77</c:v>
                </c:pt>
                <c:pt idx="59">
                  <c:v>76.7</c:v>
                </c:pt>
                <c:pt idx="60">
                  <c:v>77.3</c:v>
                </c:pt>
                <c:pt idx="61">
                  <c:v>76.900000000000006</c:v>
                </c:pt>
                <c:pt idx="62">
                  <c:v>76.900000000000006</c:v>
                </c:pt>
                <c:pt idx="63">
                  <c:v>76.900000000000006</c:v>
                </c:pt>
                <c:pt idx="64">
                  <c:v>76.900000000000006</c:v>
                </c:pt>
                <c:pt idx="65">
                  <c:v>76.599999999999994</c:v>
                </c:pt>
                <c:pt idx="66">
                  <c:v>76.599999999999994</c:v>
                </c:pt>
                <c:pt idx="67">
                  <c:v>76.8</c:v>
                </c:pt>
                <c:pt idx="68">
                  <c:v>77.5</c:v>
                </c:pt>
                <c:pt idx="69">
                  <c:v>76.2</c:v>
                </c:pt>
                <c:pt idx="70">
                  <c:v>75.900000000000006</c:v>
                </c:pt>
                <c:pt idx="71">
                  <c:v>76.400000000000006</c:v>
                </c:pt>
                <c:pt idx="72">
                  <c:v>76.400000000000006</c:v>
                </c:pt>
                <c:pt idx="73">
                  <c:v>76.099999999999994</c:v>
                </c:pt>
                <c:pt idx="74">
                  <c:v>76.400000000000006</c:v>
                </c:pt>
                <c:pt idx="75">
                  <c:v>76.400000000000006</c:v>
                </c:pt>
                <c:pt idx="76">
                  <c:v>75.599999999999994</c:v>
                </c:pt>
                <c:pt idx="77">
                  <c:v>76.099999999999994</c:v>
                </c:pt>
                <c:pt idx="78">
                  <c:v>76.099999999999994</c:v>
                </c:pt>
                <c:pt idx="79">
                  <c:v>76.099999999999994</c:v>
                </c:pt>
                <c:pt idx="80">
                  <c:v>75.5</c:v>
                </c:pt>
                <c:pt idx="81">
                  <c:v>76</c:v>
                </c:pt>
                <c:pt idx="82">
                  <c:v>76</c:v>
                </c:pt>
                <c:pt idx="83">
                  <c:v>74.7</c:v>
                </c:pt>
                <c:pt idx="84">
                  <c:v>75.2</c:v>
                </c:pt>
                <c:pt idx="85">
                  <c:v>75.3</c:v>
                </c:pt>
                <c:pt idx="86">
                  <c:v>74.900000000000006</c:v>
                </c:pt>
                <c:pt idx="87">
                  <c:v>74.900000000000006</c:v>
                </c:pt>
                <c:pt idx="88">
                  <c:v>75.2</c:v>
                </c:pt>
                <c:pt idx="89">
                  <c:v>75.599999999999994</c:v>
                </c:pt>
                <c:pt idx="90">
                  <c:v>74.900000000000006</c:v>
                </c:pt>
                <c:pt idx="91">
                  <c:v>75.599999999999994</c:v>
                </c:pt>
                <c:pt idx="92">
                  <c:v>75.3</c:v>
                </c:pt>
                <c:pt idx="93">
                  <c:v>75.3</c:v>
                </c:pt>
                <c:pt idx="94">
                  <c:v>75.2</c:v>
                </c:pt>
                <c:pt idx="95">
                  <c:v>74.900000000000006</c:v>
                </c:pt>
                <c:pt idx="96">
                  <c:v>75.599999999999994</c:v>
                </c:pt>
                <c:pt idx="97">
                  <c:v>75.900000000000006</c:v>
                </c:pt>
                <c:pt idx="98">
                  <c:v>75.7</c:v>
                </c:pt>
                <c:pt idx="99">
                  <c:v>75.3</c:v>
                </c:pt>
                <c:pt idx="100">
                  <c:v>75.400000000000006</c:v>
                </c:pt>
                <c:pt idx="101">
                  <c:v>75.400000000000006</c:v>
                </c:pt>
                <c:pt idx="102">
                  <c:v>75.400000000000006</c:v>
                </c:pt>
                <c:pt idx="103">
                  <c:v>75.7</c:v>
                </c:pt>
                <c:pt idx="104">
                  <c:v>75.2</c:v>
                </c:pt>
                <c:pt idx="105">
                  <c:v>74.900000000000006</c:v>
                </c:pt>
                <c:pt idx="106">
                  <c:v>75.2</c:v>
                </c:pt>
                <c:pt idx="107">
                  <c:v>74.599999999999994</c:v>
                </c:pt>
                <c:pt idx="108">
                  <c:v>74.599999999999994</c:v>
                </c:pt>
                <c:pt idx="109">
                  <c:v>75.2</c:v>
                </c:pt>
                <c:pt idx="110">
                  <c:v>74.7</c:v>
                </c:pt>
                <c:pt idx="111">
                  <c:v>74.3</c:v>
                </c:pt>
                <c:pt idx="112">
                  <c:v>74.3</c:v>
                </c:pt>
                <c:pt idx="113">
                  <c:v>75.099999999999994</c:v>
                </c:pt>
                <c:pt idx="114">
                  <c:v>75.2</c:v>
                </c:pt>
                <c:pt idx="115">
                  <c:v>75.099999999999994</c:v>
                </c:pt>
                <c:pt idx="116">
                  <c:v>75.400000000000006</c:v>
                </c:pt>
                <c:pt idx="117">
                  <c:v>74.7</c:v>
                </c:pt>
                <c:pt idx="118">
                  <c:v>74.099999999999994</c:v>
                </c:pt>
                <c:pt idx="119">
                  <c:v>74.900000000000006</c:v>
                </c:pt>
                <c:pt idx="120">
                  <c:v>74.099999999999994</c:v>
                </c:pt>
                <c:pt idx="121">
                  <c:v>75</c:v>
                </c:pt>
                <c:pt idx="122">
                  <c:v>75</c:v>
                </c:pt>
                <c:pt idx="123">
                  <c:v>74.400000000000006</c:v>
                </c:pt>
                <c:pt idx="124">
                  <c:v>74.7</c:v>
                </c:pt>
                <c:pt idx="125">
                  <c:v>74.099999999999994</c:v>
                </c:pt>
                <c:pt idx="126">
                  <c:v>74.099999999999994</c:v>
                </c:pt>
                <c:pt idx="127">
                  <c:v>74.099999999999994</c:v>
                </c:pt>
                <c:pt idx="128">
                  <c:v>74.099999999999994</c:v>
                </c:pt>
                <c:pt idx="129">
                  <c:v>74.099999999999994</c:v>
                </c:pt>
                <c:pt idx="130">
                  <c:v>74.099999999999994</c:v>
                </c:pt>
                <c:pt idx="131">
                  <c:v>74.099999999999994</c:v>
                </c:pt>
                <c:pt idx="132">
                  <c:v>73.7</c:v>
                </c:pt>
                <c:pt idx="133">
                  <c:v>73.7</c:v>
                </c:pt>
                <c:pt idx="134">
                  <c:v>74</c:v>
                </c:pt>
                <c:pt idx="135">
                  <c:v>74.7</c:v>
                </c:pt>
                <c:pt idx="136">
                  <c:v>74.7</c:v>
                </c:pt>
                <c:pt idx="137">
                  <c:v>74.099999999999994</c:v>
                </c:pt>
                <c:pt idx="138">
                  <c:v>74.099999999999994</c:v>
                </c:pt>
                <c:pt idx="139">
                  <c:v>74.099999999999994</c:v>
                </c:pt>
                <c:pt idx="140">
                  <c:v>74.099999999999994</c:v>
                </c:pt>
                <c:pt idx="141">
                  <c:v>73.5</c:v>
                </c:pt>
                <c:pt idx="142">
                  <c:v>73.5</c:v>
                </c:pt>
                <c:pt idx="143">
                  <c:v>73.5</c:v>
                </c:pt>
                <c:pt idx="144">
                  <c:v>73.5</c:v>
                </c:pt>
                <c:pt idx="145">
                  <c:v>73.5</c:v>
                </c:pt>
                <c:pt idx="146">
                  <c:v>72.7</c:v>
                </c:pt>
                <c:pt idx="147">
                  <c:v>72.2</c:v>
                </c:pt>
                <c:pt idx="148">
                  <c:v>73</c:v>
                </c:pt>
                <c:pt idx="149">
                  <c:v>74.2</c:v>
                </c:pt>
                <c:pt idx="150">
                  <c:v>74.3</c:v>
                </c:pt>
                <c:pt idx="151">
                  <c:v>72.400000000000006</c:v>
                </c:pt>
                <c:pt idx="152">
                  <c:v>73.5</c:v>
                </c:pt>
                <c:pt idx="153">
                  <c:v>72.900000000000006</c:v>
                </c:pt>
                <c:pt idx="154">
                  <c:v>73.400000000000006</c:v>
                </c:pt>
                <c:pt idx="155">
                  <c:v>73.400000000000006</c:v>
                </c:pt>
                <c:pt idx="156">
                  <c:v>73.8</c:v>
                </c:pt>
                <c:pt idx="157">
                  <c:v>73.5</c:v>
                </c:pt>
                <c:pt idx="158">
                  <c:v>74.099999999999994</c:v>
                </c:pt>
                <c:pt idx="159">
                  <c:v>73.5</c:v>
                </c:pt>
                <c:pt idx="160">
                  <c:v>73.8</c:v>
                </c:pt>
                <c:pt idx="161">
                  <c:v>73.599999999999994</c:v>
                </c:pt>
                <c:pt idx="162">
                  <c:v>73.599999999999994</c:v>
                </c:pt>
                <c:pt idx="163">
                  <c:v>73.599999999999994</c:v>
                </c:pt>
                <c:pt idx="164">
                  <c:v>73.900000000000006</c:v>
                </c:pt>
                <c:pt idx="165">
                  <c:v>74.099999999999994</c:v>
                </c:pt>
                <c:pt idx="166">
                  <c:v>74.099999999999994</c:v>
                </c:pt>
                <c:pt idx="167">
                  <c:v>73.599999999999994</c:v>
                </c:pt>
                <c:pt idx="168">
                  <c:v>73.400000000000006</c:v>
                </c:pt>
                <c:pt idx="169">
                  <c:v>73.5</c:v>
                </c:pt>
                <c:pt idx="170">
                  <c:v>74</c:v>
                </c:pt>
                <c:pt idx="171">
                  <c:v>73.400000000000006</c:v>
                </c:pt>
                <c:pt idx="172">
                  <c:v>73.099999999999994</c:v>
                </c:pt>
                <c:pt idx="173">
                  <c:v>74.400000000000006</c:v>
                </c:pt>
                <c:pt idx="174">
                  <c:v>74.3</c:v>
                </c:pt>
                <c:pt idx="175">
                  <c:v>73.599999999999994</c:v>
                </c:pt>
                <c:pt idx="176">
                  <c:v>73.8</c:v>
                </c:pt>
                <c:pt idx="177">
                  <c:v>74.3</c:v>
                </c:pt>
                <c:pt idx="178">
                  <c:v>73.8</c:v>
                </c:pt>
                <c:pt idx="179">
                  <c:v>74.3</c:v>
                </c:pt>
                <c:pt idx="180">
                  <c:v>74.5</c:v>
                </c:pt>
                <c:pt idx="181">
                  <c:v>73.3</c:v>
                </c:pt>
                <c:pt idx="182">
                  <c:v>73.7</c:v>
                </c:pt>
                <c:pt idx="183">
                  <c:v>74.2</c:v>
                </c:pt>
                <c:pt idx="184">
                  <c:v>73.900000000000006</c:v>
                </c:pt>
                <c:pt idx="185">
                  <c:v>74</c:v>
                </c:pt>
                <c:pt idx="186">
                  <c:v>74</c:v>
                </c:pt>
                <c:pt idx="187">
                  <c:v>74.2</c:v>
                </c:pt>
                <c:pt idx="188">
                  <c:v>74.599999999999994</c:v>
                </c:pt>
                <c:pt idx="189">
                  <c:v>74.3</c:v>
                </c:pt>
                <c:pt idx="190">
                  <c:v>74.2</c:v>
                </c:pt>
                <c:pt idx="191">
                  <c:v>74.2</c:v>
                </c:pt>
                <c:pt idx="192">
                  <c:v>74.900000000000006</c:v>
                </c:pt>
                <c:pt idx="193">
                  <c:v>74</c:v>
                </c:pt>
                <c:pt idx="194">
                  <c:v>75.3</c:v>
                </c:pt>
                <c:pt idx="195">
                  <c:v>74.3</c:v>
                </c:pt>
                <c:pt idx="196">
                  <c:v>73.2</c:v>
                </c:pt>
                <c:pt idx="197">
                  <c:v>74.3</c:v>
                </c:pt>
                <c:pt idx="198">
                  <c:v>73.900000000000006</c:v>
                </c:pt>
                <c:pt idx="199">
                  <c:v>74.2</c:v>
                </c:pt>
                <c:pt idx="200">
                  <c:v>75.099999999999994</c:v>
                </c:pt>
                <c:pt idx="201">
                  <c:v>74.099999999999994</c:v>
                </c:pt>
                <c:pt idx="202">
                  <c:v>73.7</c:v>
                </c:pt>
                <c:pt idx="203">
                  <c:v>74.099999999999994</c:v>
                </c:pt>
                <c:pt idx="204">
                  <c:v>73.7</c:v>
                </c:pt>
                <c:pt idx="205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7-4E80-9695-0EF3F187C3E5}"/>
            </c:ext>
          </c:extLst>
        </c:ser>
        <c:ser>
          <c:idx val="1"/>
          <c:order val="1"/>
          <c:tx>
            <c:strRef>
              <c:f>基データ!$C$1</c:f>
              <c:strCache>
                <c:ptCount val="1"/>
                <c:pt idx="0">
                  <c:v>施術後(Kg)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基データ!$C$2:$C$207</c:f>
              <c:numCache>
                <c:formatCode>General</c:formatCode>
                <c:ptCount val="206"/>
                <c:pt idx="0">
                  <c:v>82.2</c:v>
                </c:pt>
                <c:pt idx="3">
                  <c:v>81.599999999999994</c:v>
                </c:pt>
                <c:pt idx="7">
                  <c:v>80.8</c:v>
                </c:pt>
                <c:pt idx="12">
                  <c:v>80.2</c:v>
                </c:pt>
                <c:pt idx="16">
                  <c:v>79.5</c:v>
                </c:pt>
                <c:pt idx="17">
                  <c:v>79.2</c:v>
                </c:pt>
                <c:pt idx="20">
                  <c:v>79</c:v>
                </c:pt>
                <c:pt idx="23">
                  <c:v>79</c:v>
                </c:pt>
                <c:pt idx="26">
                  <c:v>78.5</c:v>
                </c:pt>
                <c:pt idx="30">
                  <c:v>78</c:v>
                </c:pt>
                <c:pt idx="33">
                  <c:v>78.2</c:v>
                </c:pt>
                <c:pt idx="37">
                  <c:v>77.7</c:v>
                </c:pt>
                <c:pt idx="40">
                  <c:v>77.2</c:v>
                </c:pt>
                <c:pt idx="44">
                  <c:v>77.5</c:v>
                </c:pt>
                <c:pt idx="48">
                  <c:v>77.2</c:v>
                </c:pt>
                <c:pt idx="51">
                  <c:v>77.5</c:v>
                </c:pt>
                <c:pt idx="55">
                  <c:v>76.8</c:v>
                </c:pt>
                <c:pt idx="58">
                  <c:v>76.599999999999994</c:v>
                </c:pt>
                <c:pt idx="61">
                  <c:v>76.099999999999994</c:v>
                </c:pt>
                <c:pt idx="65">
                  <c:v>75.900000000000006</c:v>
                </c:pt>
                <c:pt idx="69">
                  <c:v>75.2</c:v>
                </c:pt>
                <c:pt idx="73">
                  <c:v>75.599999999999994</c:v>
                </c:pt>
                <c:pt idx="75">
                  <c:v>75.5</c:v>
                </c:pt>
                <c:pt idx="79">
                  <c:v>74.900000000000006</c:v>
                </c:pt>
                <c:pt idx="82">
                  <c:v>75.2</c:v>
                </c:pt>
                <c:pt idx="86">
                  <c:v>74.3</c:v>
                </c:pt>
                <c:pt idx="89">
                  <c:v>74.7</c:v>
                </c:pt>
                <c:pt idx="93">
                  <c:v>75</c:v>
                </c:pt>
                <c:pt idx="96">
                  <c:v>73.900000000000006</c:v>
                </c:pt>
                <c:pt idx="104">
                  <c:v>73.599999999999994</c:v>
                </c:pt>
                <c:pt idx="107">
                  <c:v>73.5</c:v>
                </c:pt>
                <c:pt idx="110">
                  <c:v>73.2</c:v>
                </c:pt>
                <c:pt idx="117">
                  <c:v>73.7</c:v>
                </c:pt>
                <c:pt idx="124">
                  <c:v>73.900000000000006</c:v>
                </c:pt>
                <c:pt idx="131">
                  <c:v>72.8</c:v>
                </c:pt>
                <c:pt idx="138">
                  <c:v>73</c:v>
                </c:pt>
                <c:pt idx="146">
                  <c:v>72.2</c:v>
                </c:pt>
                <c:pt idx="150">
                  <c:v>73.900000000000006</c:v>
                </c:pt>
                <c:pt idx="153">
                  <c:v>72.900000000000006</c:v>
                </c:pt>
                <c:pt idx="159">
                  <c:v>73.599999999999994</c:v>
                </c:pt>
                <c:pt idx="166">
                  <c:v>73.599999999999994</c:v>
                </c:pt>
                <c:pt idx="168">
                  <c:v>73.900000000000006</c:v>
                </c:pt>
                <c:pt idx="173">
                  <c:v>74</c:v>
                </c:pt>
                <c:pt idx="180">
                  <c:v>73.599999999999994</c:v>
                </c:pt>
                <c:pt idx="187">
                  <c:v>74.2</c:v>
                </c:pt>
                <c:pt idx="191">
                  <c:v>74.099999999999994</c:v>
                </c:pt>
                <c:pt idx="195">
                  <c:v>73.8</c:v>
                </c:pt>
                <c:pt idx="19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7-4E80-9695-0EF3F187C3E5}"/>
            </c:ext>
          </c:extLst>
        </c:ser>
        <c:ser>
          <c:idx val="2"/>
          <c:order val="2"/>
          <c:tx>
            <c:strRef>
              <c:f>基データ!$D$1</c:f>
              <c:strCache>
                <c:ptCount val="1"/>
                <c:pt idx="0">
                  <c:v>平均体重(Kg)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FF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基データ!$D$2:$D$207</c:f>
              <c:numCache>
                <c:formatCode>General</c:formatCode>
                <c:ptCount val="206"/>
                <c:pt idx="0">
                  <c:v>82.300000000000011</c:v>
                </c:pt>
                <c:pt idx="1">
                  <c:v>82.4</c:v>
                </c:pt>
                <c:pt idx="2">
                  <c:v>83</c:v>
                </c:pt>
                <c:pt idx="3">
                  <c:v>82</c:v>
                </c:pt>
                <c:pt idx="4">
                  <c:v>81.400000000000006</c:v>
                </c:pt>
                <c:pt idx="5">
                  <c:v>81.400000000000006</c:v>
                </c:pt>
                <c:pt idx="6">
                  <c:v>81.400000000000006</c:v>
                </c:pt>
                <c:pt idx="7">
                  <c:v>81.199999999999989</c:v>
                </c:pt>
                <c:pt idx="8">
                  <c:v>80.8</c:v>
                </c:pt>
                <c:pt idx="9">
                  <c:v>80.8</c:v>
                </c:pt>
                <c:pt idx="10">
                  <c:v>80.8</c:v>
                </c:pt>
                <c:pt idx="11">
                  <c:v>80.8</c:v>
                </c:pt>
                <c:pt idx="12">
                  <c:v>80.75</c:v>
                </c:pt>
                <c:pt idx="13">
                  <c:v>80.599999999999994</c:v>
                </c:pt>
                <c:pt idx="14">
                  <c:v>80.599999999999994</c:v>
                </c:pt>
                <c:pt idx="15">
                  <c:v>80.599999999999994</c:v>
                </c:pt>
                <c:pt idx="16">
                  <c:v>80.05</c:v>
                </c:pt>
                <c:pt idx="17">
                  <c:v>79.5</c:v>
                </c:pt>
                <c:pt idx="18">
                  <c:v>79.8</c:v>
                </c:pt>
                <c:pt idx="19">
                  <c:v>79.8</c:v>
                </c:pt>
                <c:pt idx="20">
                  <c:v>79.400000000000006</c:v>
                </c:pt>
                <c:pt idx="21">
                  <c:v>79.3</c:v>
                </c:pt>
                <c:pt idx="22">
                  <c:v>79.3</c:v>
                </c:pt>
                <c:pt idx="23">
                  <c:v>79.75</c:v>
                </c:pt>
                <c:pt idx="24">
                  <c:v>79.3</c:v>
                </c:pt>
                <c:pt idx="25">
                  <c:v>79.3</c:v>
                </c:pt>
                <c:pt idx="26">
                  <c:v>78.900000000000006</c:v>
                </c:pt>
                <c:pt idx="27">
                  <c:v>79</c:v>
                </c:pt>
                <c:pt idx="28">
                  <c:v>78.8</c:v>
                </c:pt>
                <c:pt idx="29">
                  <c:v>79.2</c:v>
                </c:pt>
                <c:pt idx="30">
                  <c:v>78.2</c:v>
                </c:pt>
                <c:pt idx="31">
                  <c:v>78.900000000000006</c:v>
                </c:pt>
                <c:pt idx="32">
                  <c:v>78.2</c:v>
                </c:pt>
                <c:pt idx="33">
                  <c:v>78.45</c:v>
                </c:pt>
                <c:pt idx="34">
                  <c:v>78.7</c:v>
                </c:pt>
                <c:pt idx="35">
                  <c:v>78.400000000000006</c:v>
                </c:pt>
                <c:pt idx="36">
                  <c:v>78.400000000000006</c:v>
                </c:pt>
                <c:pt idx="37">
                  <c:v>78.45</c:v>
                </c:pt>
                <c:pt idx="38">
                  <c:v>78.400000000000006</c:v>
                </c:pt>
                <c:pt idx="39">
                  <c:v>78.3</c:v>
                </c:pt>
                <c:pt idx="40">
                  <c:v>77.800000000000011</c:v>
                </c:pt>
                <c:pt idx="41">
                  <c:v>78.8</c:v>
                </c:pt>
                <c:pt idx="42">
                  <c:v>78.8</c:v>
                </c:pt>
                <c:pt idx="43">
                  <c:v>79.2</c:v>
                </c:pt>
                <c:pt idx="44">
                  <c:v>78</c:v>
                </c:pt>
                <c:pt idx="45">
                  <c:v>78.5</c:v>
                </c:pt>
                <c:pt idx="46">
                  <c:v>77.900000000000006</c:v>
                </c:pt>
                <c:pt idx="47">
                  <c:v>78.400000000000006</c:v>
                </c:pt>
                <c:pt idx="48">
                  <c:v>77.650000000000006</c:v>
                </c:pt>
                <c:pt idx="49">
                  <c:v>78.099999999999994</c:v>
                </c:pt>
                <c:pt idx="50">
                  <c:v>78.5</c:v>
                </c:pt>
                <c:pt idx="51">
                  <c:v>78.25</c:v>
                </c:pt>
                <c:pt idx="52">
                  <c:v>77.599999999999994</c:v>
                </c:pt>
                <c:pt idx="53">
                  <c:v>77.599999999999994</c:v>
                </c:pt>
                <c:pt idx="54">
                  <c:v>78.099999999999994</c:v>
                </c:pt>
                <c:pt idx="55">
                  <c:v>77.150000000000006</c:v>
                </c:pt>
                <c:pt idx="56">
                  <c:v>77</c:v>
                </c:pt>
                <c:pt idx="57">
                  <c:v>77</c:v>
                </c:pt>
                <c:pt idx="58">
                  <c:v>76.8</c:v>
                </c:pt>
                <c:pt idx="59">
                  <c:v>76.7</c:v>
                </c:pt>
                <c:pt idx="60">
                  <c:v>77.3</c:v>
                </c:pt>
                <c:pt idx="61">
                  <c:v>76.5</c:v>
                </c:pt>
                <c:pt idx="62">
                  <c:v>76.900000000000006</c:v>
                </c:pt>
                <c:pt idx="63">
                  <c:v>76.900000000000006</c:v>
                </c:pt>
                <c:pt idx="64">
                  <c:v>76.900000000000006</c:v>
                </c:pt>
                <c:pt idx="65">
                  <c:v>76.25</c:v>
                </c:pt>
                <c:pt idx="66">
                  <c:v>76.599999999999994</c:v>
                </c:pt>
                <c:pt idx="67">
                  <c:v>76.8</c:v>
                </c:pt>
                <c:pt idx="68">
                  <c:v>77.5</c:v>
                </c:pt>
                <c:pt idx="69">
                  <c:v>75.7</c:v>
                </c:pt>
                <c:pt idx="70">
                  <c:v>75.900000000000006</c:v>
                </c:pt>
                <c:pt idx="71">
                  <c:v>76.400000000000006</c:v>
                </c:pt>
                <c:pt idx="72">
                  <c:v>76.400000000000006</c:v>
                </c:pt>
                <c:pt idx="73">
                  <c:v>75.849999999999994</c:v>
                </c:pt>
                <c:pt idx="74">
                  <c:v>76.400000000000006</c:v>
                </c:pt>
                <c:pt idx="75">
                  <c:v>75.95</c:v>
                </c:pt>
                <c:pt idx="76">
                  <c:v>75.599999999999994</c:v>
                </c:pt>
                <c:pt idx="77">
                  <c:v>76.099999999999994</c:v>
                </c:pt>
                <c:pt idx="78">
                  <c:v>76.099999999999994</c:v>
                </c:pt>
                <c:pt idx="79">
                  <c:v>75.5</c:v>
                </c:pt>
                <c:pt idx="80">
                  <c:v>75.5</c:v>
                </c:pt>
                <c:pt idx="81">
                  <c:v>76</c:v>
                </c:pt>
                <c:pt idx="82">
                  <c:v>75.599999999999994</c:v>
                </c:pt>
                <c:pt idx="83">
                  <c:v>74.7</c:v>
                </c:pt>
                <c:pt idx="84">
                  <c:v>75.2</c:v>
                </c:pt>
                <c:pt idx="85">
                  <c:v>75.3</c:v>
                </c:pt>
                <c:pt idx="86">
                  <c:v>74.599999999999994</c:v>
                </c:pt>
                <c:pt idx="87">
                  <c:v>74.900000000000006</c:v>
                </c:pt>
                <c:pt idx="88">
                  <c:v>75.2</c:v>
                </c:pt>
                <c:pt idx="89">
                  <c:v>75.150000000000006</c:v>
                </c:pt>
                <c:pt idx="90">
                  <c:v>74.900000000000006</c:v>
                </c:pt>
                <c:pt idx="91">
                  <c:v>75.599999999999994</c:v>
                </c:pt>
                <c:pt idx="92">
                  <c:v>75.3</c:v>
                </c:pt>
                <c:pt idx="93">
                  <c:v>75.150000000000006</c:v>
                </c:pt>
                <c:pt idx="94">
                  <c:v>75.2</c:v>
                </c:pt>
                <c:pt idx="95">
                  <c:v>74.900000000000006</c:v>
                </c:pt>
                <c:pt idx="96">
                  <c:v>74.75</c:v>
                </c:pt>
                <c:pt idx="97">
                  <c:v>75.900000000000006</c:v>
                </c:pt>
                <c:pt idx="98">
                  <c:v>75.7</c:v>
                </c:pt>
                <c:pt idx="99">
                  <c:v>75.3</c:v>
                </c:pt>
                <c:pt idx="100">
                  <c:v>75.400000000000006</c:v>
                </c:pt>
                <c:pt idx="101">
                  <c:v>75.400000000000006</c:v>
                </c:pt>
                <c:pt idx="102">
                  <c:v>75.400000000000006</c:v>
                </c:pt>
                <c:pt idx="103">
                  <c:v>75.7</c:v>
                </c:pt>
                <c:pt idx="104">
                  <c:v>74.400000000000006</c:v>
                </c:pt>
                <c:pt idx="105">
                  <c:v>74.900000000000006</c:v>
                </c:pt>
                <c:pt idx="106">
                  <c:v>75.2</c:v>
                </c:pt>
                <c:pt idx="107">
                  <c:v>74.05</c:v>
                </c:pt>
                <c:pt idx="108">
                  <c:v>74.599999999999994</c:v>
                </c:pt>
                <c:pt idx="109">
                  <c:v>75.2</c:v>
                </c:pt>
                <c:pt idx="110">
                  <c:v>73.95</c:v>
                </c:pt>
                <c:pt idx="111">
                  <c:v>74.3</c:v>
                </c:pt>
                <c:pt idx="112">
                  <c:v>74.3</c:v>
                </c:pt>
                <c:pt idx="113">
                  <c:v>75.099999999999994</c:v>
                </c:pt>
                <c:pt idx="114">
                  <c:v>75.2</c:v>
                </c:pt>
                <c:pt idx="115">
                  <c:v>75.099999999999994</c:v>
                </c:pt>
                <c:pt idx="116">
                  <c:v>75.400000000000006</c:v>
                </c:pt>
                <c:pt idx="117">
                  <c:v>74.2</c:v>
                </c:pt>
                <c:pt idx="118">
                  <c:v>74.099999999999994</c:v>
                </c:pt>
                <c:pt idx="119">
                  <c:v>74.900000000000006</c:v>
                </c:pt>
                <c:pt idx="120">
                  <c:v>74.099999999999994</c:v>
                </c:pt>
                <c:pt idx="121">
                  <c:v>75</c:v>
                </c:pt>
                <c:pt idx="122">
                  <c:v>75</c:v>
                </c:pt>
                <c:pt idx="123">
                  <c:v>74.400000000000006</c:v>
                </c:pt>
                <c:pt idx="124">
                  <c:v>74.300000000000011</c:v>
                </c:pt>
                <c:pt idx="125">
                  <c:v>74.099999999999994</c:v>
                </c:pt>
                <c:pt idx="126">
                  <c:v>74.099999999999994</c:v>
                </c:pt>
                <c:pt idx="127">
                  <c:v>74.099999999999994</c:v>
                </c:pt>
                <c:pt idx="128">
                  <c:v>74.099999999999994</c:v>
                </c:pt>
                <c:pt idx="129">
                  <c:v>74.099999999999994</c:v>
                </c:pt>
                <c:pt idx="130">
                  <c:v>74.099999999999994</c:v>
                </c:pt>
                <c:pt idx="131">
                  <c:v>73.449999999999989</c:v>
                </c:pt>
                <c:pt idx="132">
                  <c:v>73.7</c:v>
                </c:pt>
                <c:pt idx="133">
                  <c:v>73.7</c:v>
                </c:pt>
                <c:pt idx="134">
                  <c:v>74</c:v>
                </c:pt>
                <c:pt idx="135">
                  <c:v>74.7</c:v>
                </c:pt>
                <c:pt idx="136">
                  <c:v>74.7</c:v>
                </c:pt>
                <c:pt idx="137">
                  <c:v>74.099999999999994</c:v>
                </c:pt>
                <c:pt idx="138">
                  <c:v>73.55</c:v>
                </c:pt>
                <c:pt idx="139">
                  <c:v>74.099999999999994</c:v>
                </c:pt>
                <c:pt idx="140">
                  <c:v>74.099999999999994</c:v>
                </c:pt>
                <c:pt idx="141">
                  <c:v>73.5</c:v>
                </c:pt>
                <c:pt idx="142">
                  <c:v>73.5</c:v>
                </c:pt>
                <c:pt idx="143">
                  <c:v>73.5</c:v>
                </c:pt>
                <c:pt idx="144">
                  <c:v>73.5</c:v>
                </c:pt>
                <c:pt idx="145">
                  <c:v>73.5</c:v>
                </c:pt>
                <c:pt idx="146">
                  <c:v>72.45</c:v>
                </c:pt>
                <c:pt idx="147">
                  <c:v>72.2</c:v>
                </c:pt>
                <c:pt idx="148">
                  <c:v>73</c:v>
                </c:pt>
                <c:pt idx="149">
                  <c:v>74.2</c:v>
                </c:pt>
                <c:pt idx="150">
                  <c:v>74.099999999999994</c:v>
                </c:pt>
                <c:pt idx="151">
                  <c:v>72.400000000000006</c:v>
                </c:pt>
                <c:pt idx="152">
                  <c:v>73.5</c:v>
                </c:pt>
                <c:pt idx="153">
                  <c:v>72.900000000000006</c:v>
                </c:pt>
                <c:pt idx="154">
                  <c:v>73.400000000000006</c:v>
                </c:pt>
                <c:pt idx="155">
                  <c:v>73.400000000000006</c:v>
                </c:pt>
                <c:pt idx="156">
                  <c:v>73.8</c:v>
                </c:pt>
                <c:pt idx="157">
                  <c:v>73.5</c:v>
                </c:pt>
                <c:pt idx="158">
                  <c:v>74.099999999999994</c:v>
                </c:pt>
                <c:pt idx="159">
                  <c:v>73.55</c:v>
                </c:pt>
                <c:pt idx="160">
                  <c:v>73.8</c:v>
                </c:pt>
                <c:pt idx="161">
                  <c:v>73.599999999999994</c:v>
                </c:pt>
                <c:pt idx="162">
                  <c:v>73.599999999999994</c:v>
                </c:pt>
                <c:pt idx="163">
                  <c:v>73.599999999999994</c:v>
                </c:pt>
                <c:pt idx="164">
                  <c:v>73.900000000000006</c:v>
                </c:pt>
                <c:pt idx="165">
                  <c:v>74.099999999999994</c:v>
                </c:pt>
                <c:pt idx="166">
                  <c:v>73.849999999999994</c:v>
                </c:pt>
                <c:pt idx="167">
                  <c:v>73.599999999999994</c:v>
                </c:pt>
                <c:pt idx="168">
                  <c:v>73.650000000000006</c:v>
                </c:pt>
                <c:pt idx="169">
                  <c:v>73.5</c:v>
                </c:pt>
                <c:pt idx="170">
                  <c:v>74</c:v>
                </c:pt>
                <c:pt idx="171">
                  <c:v>73.400000000000006</c:v>
                </c:pt>
                <c:pt idx="172">
                  <c:v>73.099999999999994</c:v>
                </c:pt>
                <c:pt idx="173">
                  <c:v>74.2</c:v>
                </c:pt>
                <c:pt idx="174">
                  <c:v>74.3</c:v>
                </c:pt>
                <c:pt idx="175">
                  <c:v>73.599999999999994</c:v>
                </c:pt>
                <c:pt idx="176">
                  <c:v>73.8</c:v>
                </c:pt>
                <c:pt idx="177">
                  <c:v>74.3</c:v>
                </c:pt>
                <c:pt idx="178">
                  <c:v>73.8</c:v>
                </c:pt>
                <c:pt idx="179">
                  <c:v>74.3</c:v>
                </c:pt>
                <c:pt idx="180">
                  <c:v>74.05</c:v>
                </c:pt>
                <c:pt idx="181">
                  <c:v>73.3</c:v>
                </c:pt>
                <c:pt idx="182">
                  <c:v>73.7</c:v>
                </c:pt>
                <c:pt idx="183">
                  <c:v>74.2</c:v>
                </c:pt>
                <c:pt idx="184">
                  <c:v>73.900000000000006</c:v>
                </c:pt>
                <c:pt idx="185">
                  <c:v>74</c:v>
                </c:pt>
                <c:pt idx="186">
                  <c:v>74</c:v>
                </c:pt>
                <c:pt idx="187">
                  <c:v>74.2</c:v>
                </c:pt>
                <c:pt idx="188">
                  <c:v>74.599999999999994</c:v>
                </c:pt>
                <c:pt idx="189">
                  <c:v>74.3</c:v>
                </c:pt>
                <c:pt idx="190">
                  <c:v>74.2</c:v>
                </c:pt>
                <c:pt idx="191">
                  <c:v>74.150000000000006</c:v>
                </c:pt>
                <c:pt idx="192">
                  <c:v>74.900000000000006</c:v>
                </c:pt>
                <c:pt idx="193">
                  <c:v>74</c:v>
                </c:pt>
                <c:pt idx="194">
                  <c:v>75.3</c:v>
                </c:pt>
                <c:pt idx="195">
                  <c:v>74.05</c:v>
                </c:pt>
                <c:pt idx="196">
                  <c:v>73.2</c:v>
                </c:pt>
                <c:pt idx="197">
                  <c:v>74.3</c:v>
                </c:pt>
                <c:pt idx="198">
                  <c:v>73.5</c:v>
                </c:pt>
                <c:pt idx="199">
                  <c:v>74.2</c:v>
                </c:pt>
                <c:pt idx="200">
                  <c:v>75.099999999999994</c:v>
                </c:pt>
                <c:pt idx="201">
                  <c:v>74.099999999999994</c:v>
                </c:pt>
                <c:pt idx="202">
                  <c:v>73.7</c:v>
                </c:pt>
                <c:pt idx="203">
                  <c:v>74.099999999999994</c:v>
                </c:pt>
                <c:pt idx="204">
                  <c:v>73.7</c:v>
                </c:pt>
                <c:pt idx="205">
                  <c:v>74.7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1D7-4E80-9695-0EF3F187C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8336"/>
        <c:axId val="171711080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基データ!$E$1</c15:sqref>
                        </c15:formulaRef>
                      </c:ext>
                    </c:extLst>
                    <c:strCache>
                      <c:ptCount val="1"/>
                      <c:pt idx="0">
                        <c:v>差(Kg)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基データ!$A$2:$A$207</c15:sqref>
                        </c15:formulaRef>
                      </c:ext>
                    </c:extLst>
                    <c:numCache>
                      <c:formatCode>m"月"d"日"</c:formatCode>
                      <c:ptCount val="206"/>
                      <c:pt idx="0">
                        <c:v>42485</c:v>
                      </c:pt>
                      <c:pt idx="1">
                        <c:v>42486</c:v>
                      </c:pt>
                      <c:pt idx="2">
                        <c:v>42487</c:v>
                      </c:pt>
                      <c:pt idx="3">
                        <c:v>42488</c:v>
                      </c:pt>
                      <c:pt idx="4">
                        <c:v>42489</c:v>
                      </c:pt>
                      <c:pt idx="5">
                        <c:v>42490</c:v>
                      </c:pt>
                      <c:pt idx="6">
                        <c:v>42491</c:v>
                      </c:pt>
                      <c:pt idx="7">
                        <c:v>42492</c:v>
                      </c:pt>
                      <c:pt idx="8">
                        <c:v>42493</c:v>
                      </c:pt>
                      <c:pt idx="9">
                        <c:v>42494</c:v>
                      </c:pt>
                      <c:pt idx="10">
                        <c:v>42495</c:v>
                      </c:pt>
                      <c:pt idx="11">
                        <c:v>42496</c:v>
                      </c:pt>
                      <c:pt idx="12">
                        <c:v>42497</c:v>
                      </c:pt>
                      <c:pt idx="13">
                        <c:v>42498</c:v>
                      </c:pt>
                      <c:pt idx="14">
                        <c:v>42499</c:v>
                      </c:pt>
                      <c:pt idx="15">
                        <c:v>42500</c:v>
                      </c:pt>
                      <c:pt idx="16">
                        <c:v>42501</c:v>
                      </c:pt>
                      <c:pt idx="17">
                        <c:v>42502</c:v>
                      </c:pt>
                      <c:pt idx="18">
                        <c:v>42503</c:v>
                      </c:pt>
                      <c:pt idx="19">
                        <c:v>42504</c:v>
                      </c:pt>
                      <c:pt idx="20">
                        <c:v>42505</c:v>
                      </c:pt>
                      <c:pt idx="21">
                        <c:v>42506</c:v>
                      </c:pt>
                      <c:pt idx="22">
                        <c:v>42507</c:v>
                      </c:pt>
                      <c:pt idx="23">
                        <c:v>42508</c:v>
                      </c:pt>
                      <c:pt idx="24">
                        <c:v>42509</c:v>
                      </c:pt>
                      <c:pt idx="25">
                        <c:v>42510</c:v>
                      </c:pt>
                      <c:pt idx="26">
                        <c:v>42511</c:v>
                      </c:pt>
                      <c:pt idx="27">
                        <c:v>42512</c:v>
                      </c:pt>
                      <c:pt idx="28">
                        <c:v>42513</c:v>
                      </c:pt>
                      <c:pt idx="29">
                        <c:v>42514</c:v>
                      </c:pt>
                      <c:pt idx="30">
                        <c:v>42515</c:v>
                      </c:pt>
                      <c:pt idx="31">
                        <c:v>42516</c:v>
                      </c:pt>
                      <c:pt idx="32">
                        <c:v>42517</c:v>
                      </c:pt>
                      <c:pt idx="33">
                        <c:v>42518</c:v>
                      </c:pt>
                      <c:pt idx="34">
                        <c:v>42519</c:v>
                      </c:pt>
                      <c:pt idx="35">
                        <c:v>42520</c:v>
                      </c:pt>
                      <c:pt idx="36">
                        <c:v>42521</c:v>
                      </c:pt>
                      <c:pt idx="37">
                        <c:v>42522</c:v>
                      </c:pt>
                      <c:pt idx="38">
                        <c:v>42523</c:v>
                      </c:pt>
                      <c:pt idx="39">
                        <c:v>42524</c:v>
                      </c:pt>
                      <c:pt idx="40">
                        <c:v>42525</c:v>
                      </c:pt>
                      <c:pt idx="41">
                        <c:v>42526</c:v>
                      </c:pt>
                      <c:pt idx="42">
                        <c:v>42527</c:v>
                      </c:pt>
                      <c:pt idx="43">
                        <c:v>42528</c:v>
                      </c:pt>
                      <c:pt idx="44">
                        <c:v>42529</c:v>
                      </c:pt>
                      <c:pt idx="45">
                        <c:v>42530</c:v>
                      </c:pt>
                      <c:pt idx="46">
                        <c:v>42531</c:v>
                      </c:pt>
                      <c:pt idx="47">
                        <c:v>42532</c:v>
                      </c:pt>
                      <c:pt idx="48">
                        <c:v>42533</c:v>
                      </c:pt>
                      <c:pt idx="49">
                        <c:v>42534</c:v>
                      </c:pt>
                      <c:pt idx="50">
                        <c:v>42535</c:v>
                      </c:pt>
                      <c:pt idx="51">
                        <c:v>42536</c:v>
                      </c:pt>
                      <c:pt idx="52">
                        <c:v>42537</c:v>
                      </c:pt>
                      <c:pt idx="53">
                        <c:v>42538</c:v>
                      </c:pt>
                      <c:pt idx="54">
                        <c:v>42539</c:v>
                      </c:pt>
                      <c:pt idx="55">
                        <c:v>42540</c:v>
                      </c:pt>
                      <c:pt idx="56">
                        <c:v>42541</c:v>
                      </c:pt>
                      <c:pt idx="57">
                        <c:v>42542</c:v>
                      </c:pt>
                      <c:pt idx="58">
                        <c:v>42543</c:v>
                      </c:pt>
                      <c:pt idx="59">
                        <c:v>42544</c:v>
                      </c:pt>
                      <c:pt idx="60">
                        <c:v>42545</c:v>
                      </c:pt>
                      <c:pt idx="61">
                        <c:v>42546</c:v>
                      </c:pt>
                      <c:pt idx="62">
                        <c:v>42547</c:v>
                      </c:pt>
                      <c:pt idx="63">
                        <c:v>42548</c:v>
                      </c:pt>
                      <c:pt idx="64">
                        <c:v>42549</c:v>
                      </c:pt>
                      <c:pt idx="65">
                        <c:v>42550</c:v>
                      </c:pt>
                      <c:pt idx="66">
                        <c:v>42551</c:v>
                      </c:pt>
                      <c:pt idx="67">
                        <c:v>42552</c:v>
                      </c:pt>
                      <c:pt idx="68">
                        <c:v>42553</c:v>
                      </c:pt>
                      <c:pt idx="69">
                        <c:v>42554</c:v>
                      </c:pt>
                      <c:pt idx="70">
                        <c:v>42555</c:v>
                      </c:pt>
                      <c:pt idx="71">
                        <c:v>42556</c:v>
                      </c:pt>
                      <c:pt idx="72">
                        <c:v>42557</c:v>
                      </c:pt>
                      <c:pt idx="73">
                        <c:v>42558</c:v>
                      </c:pt>
                      <c:pt idx="74">
                        <c:v>42559</c:v>
                      </c:pt>
                      <c:pt idx="75">
                        <c:v>42560</c:v>
                      </c:pt>
                      <c:pt idx="76">
                        <c:v>42561</c:v>
                      </c:pt>
                      <c:pt idx="77">
                        <c:v>42562</c:v>
                      </c:pt>
                      <c:pt idx="78">
                        <c:v>42563</c:v>
                      </c:pt>
                      <c:pt idx="79">
                        <c:v>42564</c:v>
                      </c:pt>
                      <c:pt idx="80">
                        <c:v>42565</c:v>
                      </c:pt>
                      <c:pt idx="81">
                        <c:v>42566</c:v>
                      </c:pt>
                      <c:pt idx="82">
                        <c:v>42567</c:v>
                      </c:pt>
                      <c:pt idx="83">
                        <c:v>42568</c:v>
                      </c:pt>
                      <c:pt idx="84">
                        <c:v>42569</c:v>
                      </c:pt>
                      <c:pt idx="85">
                        <c:v>42570</c:v>
                      </c:pt>
                      <c:pt idx="86">
                        <c:v>42571</c:v>
                      </c:pt>
                      <c:pt idx="87">
                        <c:v>42572</c:v>
                      </c:pt>
                      <c:pt idx="88">
                        <c:v>42573</c:v>
                      </c:pt>
                      <c:pt idx="89">
                        <c:v>42574</c:v>
                      </c:pt>
                      <c:pt idx="90">
                        <c:v>42575</c:v>
                      </c:pt>
                      <c:pt idx="91">
                        <c:v>42576</c:v>
                      </c:pt>
                      <c:pt idx="92">
                        <c:v>42577</c:v>
                      </c:pt>
                      <c:pt idx="93">
                        <c:v>42578</c:v>
                      </c:pt>
                      <c:pt idx="94">
                        <c:v>42579</c:v>
                      </c:pt>
                      <c:pt idx="95">
                        <c:v>42580</c:v>
                      </c:pt>
                      <c:pt idx="96">
                        <c:v>42581</c:v>
                      </c:pt>
                      <c:pt idx="97">
                        <c:v>42582</c:v>
                      </c:pt>
                      <c:pt idx="98">
                        <c:v>42583</c:v>
                      </c:pt>
                      <c:pt idx="99">
                        <c:v>42584</c:v>
                      </c:pt>
                      <c:pt idx="100">
                        <c:v>42585</c:v>
                      </c:pt>
                      <c:pt idx="101">
                        <c:v>42586</c:v>
                      </c:pt>
                      <c:pt idx="102">
                        <c:v>42587</c:v>
                      </c:pt>
                      <c:pt idx="103">
                        <c:v>42588</c:v>
                      </c:pt>
                      <c:pt idx="104">
                        <c:v>42589</c:v>
                      </c:pt>
                      <c:pt idx="105">
                        <c:v>42590</c:v>
                      </c:pt>
                      <c:pt idx="106">
                        <c:v>42591</c:v>
                      </c:pt>
                      <c:pt idx="107">
                        <c:v>42592</c:v>
                      </c:pt>
                      <c:pt idx="108">
                        <c:v>42593</c:v>
                      </c:pt>
                      <c:pt idx="109">
                        <c:v>42594</c:v>
                      </c:pt>
                      <c:pt idx="110">
                        <c:v>42595</c:v>
                      </c:pt>
                      <c:pt idx="111">
                        <c:v>42596</c:v>
                      </c:pt>
                      <c:pt idx="112">
                        <c:v>42597</c:v>
                      </c:pt>
                      <c:pt idx="113">
                        <c:v>42598</c:v>
                      </c:pt>
                      <c:pt idx="114">
                        <c:v>42599</c:v>
                      </c:pt>
                      <c:pt idx="115">
                        <c:v>42600</c:v>
                      </c:pt>
                      <c:pt idx="116">
                        <c:v>42601</c:v>
                      </c:pt>
                      <c:pt idx="117">
                        <c:v>42602</c:v>
                      </c:pt>
                      <c:pt idx="118">
                        <c:v>42603</c:v>
                      </c:pt>
                      <c:pt idx="119">
                        <c:v>42604</c:v>
                      </c:pt>
                      <c:pt idx="120">
                        <c:v>42605</c:v>
                      </c:pt>
                      <c:pt idx="121">
                        <c:v>42606</c:v>
                      </c:pt>
                      <c:pt idx="122">
                        <c:v>42607</c:v>
                      </c:pt>
                      <c:pt idx="123">
                        <c:v>42608</c:v>
                      </c:pt>
                      <c:pt idx="124">
                        <c:v>42609</c:v>
                      </c:pt>
                      <c:pt idx="125">
                        <c:v>42610</c:v>
                      </c:pt>
                      <c:pt idx="126">
                        <c:v>42611</c:v>
                      </c:pt>
                      <c:pt idx="127">
                        <c:v>42612</c:v>
                      </c:pt>
                      <c:pt idx="128">
                        <c:v>42613</c:v>
                      </c:pt>
                      <c:pt idx="129">
                        <c:v>42614</c:v>
                      </c:pt>
                      <c:pt idx="130">
                        <c:v>42615</c:v>
                      </c:pt>
                      <c:pt idx="131">
                        <c:v>42616</c:v>
                      </c:pt>
                      <c:pt idx="132">
                        <c:v>42617</c:v>
                      </c:pt>
                      <c:pt idx="133">
                        <c:v>42618</c:v>
                      </c:pt>
                      <c:pt idx="134">
                        <c:v>42619</c:v>
                      </c:pt>
                      <c:pt idx="135">
                        <c:v>42620</c:v>
                      </c:pt>
                      <c:pt idx="136">
                        <c:v>42621</c:v>
                      </c:pt>
                      <c:pt idx="137">
                        <c:v>42622</c:v>
                      </c:pt>
                      <c:pt idx="138">
                        <c:v>42623</c:v>
                      </c:pt>
                      <c:pt idx="139">
                        <c:v>42624</c:v>
                      </c:pt>
                      <c:pt idx="140">
                        <c:v>42625</c:v>
                      </c:pt>
                      <c:pt idx="141">
                        <c:v>42626</c:v>
                      </c:pt>
                      <c:pt idx="142">
                        <c:v>42627</c:v>
                      </c:pt>
                      <c:pt idx="143">
                        <c:v>42628</c:v>
                      </c:pt>
                      <c:pt idx="144">
                        <c:v>42629</c:v>
                      </c:pt>
                      <c:pt idx="145">
                        <c:v>42630</c:v>
                      </c:pt>
                      <c:pt idx="146">
                        <c:v>42631</c:v>
                      </c:pt>
                      <c:pt idx="147">
                        <c:v>42632</c:v>
                      </c:pt>
                      <c:pt idx="148">
                        <c:v>42633</c:v>
                      </c:pt>
                      <c:pt idx="149">
                        <c:v>42634</c:v>
                      </c:pt>
                      <c:pt idx="150">
                        <c:v>42635</c:v>
                      </c:pt>
                      <c:pt idx="151">
                        <c:v>42636</c:v>
                      </c:pt>
                      <c:pt idx="152">
                        <c:v>42637</c:v>
                      </c:pt>
                      <c:pt idx="153">
                        <c:v>42638</c:v>
                      </c:pt>
                      <c:pt idx="154">
                        <c:v>42639</c:v>
                      </c:pt>
                      <c:pt idx="155">
                        <c:v>42640</c:v>
                      </c:pt>
                      <c:pt idx="156">
                        <c:v>42641</c:v>
                      </c:pt>
                      <c:pt idx="157">
                        <c:v>42642</c:v>
                      </c:pt>
                      <c:pt idx="158">
                        <c:v>42643</c:v>
                      </c:pt>
                      <c:pt idx="159">
                        <c:v>42644</c:v>
                      </c:pt>
                      <c:pt idx="160">
                        <c:v>42645</c:v>
                      </c:pt>
                      <c:pt idx="161">
                        <c:v>42646</c:v>
                      </c:pt>
                      <c:pt idx="162">
                        <c:v>42647</c:v>
                      </c:pt>
                      <c:pt idx="163">
                        <c:v>42648</c:v>
                      </c:pt>
                      <c:pt idx="164">
                        <c:v>42649</c:v>
                      </c:pt>
                      <c:pt idx="165">
                        <c:v>42650</c:v>
                      </c:pt>
                      <c:pt idx="166">
                        <c:v>42651</c:v>
                      </c:pt>
                      <c:pt idx="167">
                        <c:v>42652</c:v>
                      </c:pt>
                      <c:pt idx="168">
                        <c:v>42653</c:v>
                      </c:pt>
                      <c:pt idx="169">
                        <c:v>42654</c:v>
                      </c:pt>
                      <c:pt idx="170">
                        <c:v>42655</c:v>
                      </c:pt>
                      <c:pt idx="171">
                        <c:v>42656</c:v>
                      </c:pt>
                      <c:pt idx="172">
                        <c:v>42657</c:v>
                      </c:pt>
                      <c:pt idx="173">
                        <c:v>42658</c:v>
                      </c:pt>
                      <c:pt idx="174">
                        <c:v>42659</c:v>
                      </c:pt>
                      <c:pt idx="175">
                        <c:v>42660</c:v>
                      </c:pt>
                      <c:pt idx="176">
                        <c:v>42661</c:v>
                      </c:pt>
                      <c:pt idx="177">
                        <c:v>42662</c:v>
                      </c:pt>
                      <c:pt idx="178">
                        <c:v>42663</c:v>
                      </c:pt>
                      <c:pt idx="179">
                        <c:v>42664</c:v>
                      </c:pt>
                      <c:pt idx="180">
                        <c:v>42665</c:v>
                      </c:pt>
                      <c:pt idx="181">
                        <c:v>42666</c:v>
                      </c:pt>
                      <c:pt idx="182">
                        <c:v>42667</c:v>
                      </c:pt>
                      <c:pt idx="183">
                        <c:v>42668</c:v>
                      </c:pt>
                      <c:pt idx="184">
                        <c:v>42669</c:v>
                      </c:pt>
                      <c:pt idx="185">
                        <c:v>42670</c:v>
                      </c:pt>
                      <c:pt idx="186">
                        <c:v>42671</c:v>
                      </c:pt>
                      <c:pt idx="187">
                        <c:v>42672</c:v>
                      </c:pt>
                      <c:pt idx="188">
                        <c:v>42673</c:v>
                      </c:pt>
                      <c:pt idx="189">
                        <c:v>42674</c:v>
                      </c:pt>
                      <c:pt idx="190">
                        <c:v>42675</c:v>
                      </c:pt>
                      <c:pt idx="191">
                        <c:v>42676</c:v>
                      </c:pt>
                      <c:pt idx="192">
                        <c:v>42677</c:v>
                      </c:pt>
                      <c:pt idx="193">
                        <c:v>42678</c:v>
                      </c:pt>
                      <c:pt idx="194">
                        <c:v>42679</c:v>
                      </c:pt>
                      <c:pt idx="195">
                        <c:v>42680</c:v>
                      </c:pt>
                      <c:pt idx="196">
                        <c:v>42681</c:v>
                      </c:pt>
                      <c:pt idx="197">
                        <c:v>42682</c:v>
                      </c:pt>
                      <c:pt idx="198">
                        <c:v>42683</c:v>
                      </c:pt>
                      <c:pt idx="199">
                        <c:v>42684</c:v>
                      </c:pt>
                      <c:pt idx="200">
                        <c:v>42685</c:v>
                      </c:pt>
                      <c:pt idx="201">
                        <c:v>42686</c:v>
                      </c:pt>
                      <c:pt idx="202">
                        <c:v>42687</c:v>
                      </c:pt>
                      <c:pt idx="203">
                        <c:v>42688</c:v>
                      </c:pt>
                      <c:pt idx="204">
                        <c:v>42689</c:v>
                      </c:pt>
                      <c:pt idx="205">
                        <c:v>42690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基データ!$E$2:$E$207</c15:sqref>
                        </c15:formulaRef>
                      </c:ext>
                    </c:extLst>
                    <c:numCache>
                      <c:formatCode>General</c:formatCode>
                      <c:ptCount val="20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0.59999999999999432</c:v>
                      </c:pt>
                      <c:pt idx="3">
                        <c:v>0</c:v>
                      </c:pt>
                      <c:pt idx="4">
                        <c:v>-1</c:v>
                      </c:pt>
                      <c:pt idx="5">
                        <c:v>-1</c:v>
                      </c:pt>
                      <c:pt idx="6">
                        <c:v>-1</c:v>
                      </c:pt>
                      <c:pt idx="7">
                        <c:v>-0.80000000000001137</c:v>
                      </c:pt>
                      <c:pt idx="8">
                        <c:v>-1.6000000000000085</c:v>
                      </c:pt>
                      <c:pt idx="9">
                        <c:v>-1.6000000000000085</c:v>
                      </c:pt>
                      <c:pt idx="10">
                        <c:v>-1.6000000000000085</c:v>
                      </c:pt>
                      <c:pt idx="11">
                        <c:v>-1.6000000000000085</c:v>
                      </c:pt>
                      <c:pt idx="12">
                        <c:v>-1.1000000000000085</c:v>
                      </c:pt>
                      <c:pt idx="13">
                        <c:v>-1.8000000000000114</c:v>
                      </c:pt>
                      <c:pt idx="14">
                        <c:v>-1.8000000000000114</c:v>
                      </c:pt>
                      <c:pt idx="15">
                        <c:v>-1.8000000000000114</c:v>
                      </c:pt>
                      <c:pt idx="16">
                        <c:v>-1.8000000000000114</c:v>
                      </c:pt>
                      <c:pt idx="17">
                        <c:v>-2.6000000000000085</c:v>
                      </c:pt>
                      <c:pt idx="18">
                        <c:v>-2.6000000000000085</c:v>
                      </c:pt>
                      <c:pt idx="19">
                        <c:v>-2.6000000000000085</c:v>
                      </c:pt>
                      <c:pt idx="20">
                        <c:v>-2.6000000000000085</c:v>
                      </c:pt>
                      <c:pt idx="21">
                        <c:v>-3.1000000000000085</c:v>
                      </c:pt>
                      <c:pt idx="22">
                        <c:v>-3.1000000000000085</c:v>
                      </c:pt>
                      <c:pt idx="23">
                        <c:v>-1.9000000000000057</c:v>
                      </c:pt>
                      <c:pt idx="24">
                        <c:v>-3.1000000000000085</c:v>
                      </c:pt>
                      <c:pt idx="25">
                        <c:v>-3.1000000000000085</c:v>
                      </c:pt>
                      <c:pt idx="26">
                        <c:v>-3.1000000000000085</c:v>
                      </c:pt>
                      <c:pt idx="27">
                        <c:v>-3.4000000000000057</c:v>
                      </c:pt>
                      <c:pt idx="28">
                        <c:v>-3.6000000000000085</c:v>
                      </c:pt>
                      <c:pt idx="29">
                        <c:v>-3.2000000000000028</c:v>
                      </c:pt>
                      <c:pt idx="30">
                        <c:v>-4</c:v>
                      </c:pt>
                      <c:pt idx="31">
                        <c:v>-3.5</c:v>
                      </c:pt>
                      <c:pt idx="32">
                        <c:v>-4.2000000000000028</c:v>
                      </c:pt>
                      <c:pt idx="33">
                        <c:v>-3.7000000000000028</c:v>
                      </c:pt>
                      <c:pt idx="34">
                        <c:v>-3.7000000000000028</c:v>
                      </c:pt>
                      <c:pt idx="35">
                        <c:v>-4</c:v>
                      </c:pt>
                      <c:pt idx="36">
                        <c:v>-4</c:v>
                      </c:pt>
                      <c:pt idx="37">
                        <c:v>-3.2000000000000028</c:v>
                      </c:pt>
                      <c:pt idx="38">
                        <c:v>-4</c:v>
                      </c:pt>
                      <c:pt idx="39">
                        <c:v>-4.1000000000000085</c:v>
                      </c:pt>
                      <c:pt idx="40">
                        <c:v>-4</c:v>
                      </c:pt>
                      <c:pt idx="41">
                        <c:v>-3.6000000000000085</c:v>
                      </c:pt>
                      <c:pt idx="42">
                        <c:v>-3.6000000000000085</c:v>
                      </c:pt>
                      <c:pt idx="43">
                        <c:v>-3.2000000000000028</c:v>
                      </c:pt>
                      <c:pt idx="44">
                        <c:v>-3.9000000000000057</c:v>
                      </c:pt>
                      <c:pt idx="45">
                        <c:v>-3.9000000000000057</c:v>
                      </c:pt>
                      <c:pt idx="46">
                        <c:v>-4.5</c:v>
                      </c:pt>
                      <c:pt idx="47">
                        <c:v>-4</c:v>
                      </c:pt>
                      <c:pt idx="48">
                        <c:v>-4.3000000000000114</c:v>
                      </c:pt>
                      <c:pt idx="49">
                        <c:v>-4.3000000000000114</c:v>
                      </c:pt>
                      <c:pt idx="50">
                        <c:v>-3.9000000000000057</c:v>
                      </c:pt>
                      <c:pt idx="51">
                        <c:v>-3.4000000000000057</c:v>
                      </c:pt>
                      <c:pt idx="52">
                        <c:v>-4.8000000000000114</c:v>
                      </c:pt>
                      <c:pt idx="53">
                        <c:v>-4.8000000000000114</c:v>
                      </c:pt>
                      <c:pt idx="54">
                        <c:v>-4.3000000000000114</c:v>
                      </c:pt>
                      <c:pt idx="55">
                        <c:v>-4.9000000000000057</c:v>
                      </c:pt>
                      <c:pt idx="56">
                        <c:v>-5.4000000000000057</c:v>
                      </c:pt>
                      <c:pt idx="57">
                        <c:v>-5.4000000000000057</c:v>
                      </c:pt>
                      <c:pt idx="58">
                        <c:v>-5.4000000000000057</c:v>
                      </c:pt>
                      <c:pt idx="59">
                        <c:v>-5.7000000000000028</c:v>
                      </c:pt>
                      <c:pt idx="60">
                        <c:v>-5.1000000000000085</c:v>
                      </c:pt>
                      <c:pt idx="61">
                        <c:v>-5.5</c:v>
                      </c:pt>
                      <c:pt idx="62">
                        <c:v>-5.5</c:v>
                      </c:pt>
                      <c:pt idx="63">
                        <c:v>-5.5</c:v>
                      </c:pt>
                      <c:pt idx="64">
                        <c:v>-5.5</c:v>
                      </c:pt>
                      <c:pt idx="65">
                        <c:v>-5.8000000000000114</c:v>
                      </c:pt>
                      <c:pt idx="66">
                        <c:v>-5.8000000000000114</c:v>
                      </c:pt>
                      <c:pt idx="67">
                        <c:v>-5.6000000000000085</c:v>
                      </c:pt>
                      <c:pt idx="68">
                        <c:v>-4.9000000000000057</c:v>
                      </c:pt>
                      <c:pt idx="69">
                        <c:v>-6.2000000000000028</c:v>
                      </c:pt>
                      <c:pt idx="70">
                        <c:v>-6.5</c:v>
                      </c:pt>
                      <c:pt idx="71">
                        <c:v>-6</c:v>
                      </c:pt>
                      <c:pt idx="72">
                        <c:v>-6</c:v>
                      </c:pt>
                      <c:pt idx="73">
                        <c:v>-6.3000000000000114</c:v>
                      </c:pt>
                      <c:pt idx="74">
                        <c:v>-6</c:v>
                      </c:pt>
                      <c:pt idx="75">
                        <c:v>-6</c:v>
                      </c:pt>
                      <c:pt idx="76">
                        <c:v>-6.8000000000000114</c:v>
                      </c:pt>
                      <c:pt idx="77">
                        <c:v>-6.3000000000000114</c:v>
                      </c:pt>
                      <c:pt idx="78">
                        <c:v>-6.3000000000000114</c:v>
                      </c:pt>
                      <c:pt idx="79">
                        <c:v>-6.3000000000000114</c:v>
                      </c:pt>
                      <c:pt idx="80">
                        <c:v>-6.9000000000000057</c:v>
                      </c:pt>
                      <c:pt idx="81">
                        <c:v>-6.4000000000000057</c:v>
                      </c:pt>
                      <c:pt idx="82">
                        <c:v>-6.4000000000000057</c:v>
                      </c:pt>
                      <c:pt idx="83">
                        <c:v>-7.7000000000000028</c:v>
                      </c:pt>
                      <c:pt idx="84">
                        <c:v>-7.2000000000000028</c:v>
                      </c:pt>
                      <c:pt idx="85">
                        <c:v>-7.1000000000000085</c:v>
                      </c:pt>
                      <c:pt idx="86">
                        <c:v>-7.5</c:v>
                      </c:pt>
                      <c:pt idx="87">
                        <c:v>-7.5</c:v>
                      </c:pt>
                      <c:pt idx="88">
                        <c:v>-7.2000000000000028</c:v>
                      </c:pt>
                      <c:pt idx="89">
                        <c:v>-6.8000000000000114</c:v>
                      </c:pt>
                      <c:pt idx="90">
                        <c:v>-7.5</c:v>
                      </c:pt>
                      <c:pt idx="91">
                        <c:v>-6.8000000000000114</c:v>
                      </c:pt>
                      <c:pt idx="92">
                        <c:v>-7.1000000000000085</c:v>
                      </c:pt>
                      <c:pt idx="93">
                        <c:v>-7.1000000000000085</c:v>
                      </c:pt>
                      <c:pt idx="94">
                        <c:v>-7.2000000000000028</c:v>
                      </c:pt>
                      <c:pt idx="95">
                        <c:v>-7.5</c:v>
                      </c:pt>
                      <c:pt idx="96">
                        <c:v>-6.8000000000000114</c:v>
                      </c:pt>
                      <c:pt idx="97">
                        <c:v>-6.5</c:v>
                      </c:pt>
                      <c:pt idx="98">
                        <c:v>-6.7000000000000028</c:v>
                      </c:pt>
                      <c:pt idx="99">
                        <c:v>-7.1000000000000085</c:v>
                      </c:pt>
                      <c:pt idx="100">
                        <c:v>-7</c:v>
                      </c:pt>
                      <c:pt idx="101">
                        <c:v>-7</c:v>
                      </c:pt>
                      <c:pt idx="102">
                        <c:v>-7</c:v>
                      </c:pt>
                      <c:pt idx="103">
                        <c:v>-6.7000000000000028</c:v>
                      </c:pt>
                      <c:pt idx="104">
                        <c:v>-7.2000000000000028</c:v>
                      </c:pt>
                      <c:pt idx="105">
                        <c:v>-7.5</c:v>
                      </c:pt>
                      <c:pt idx="106">
                        <c:v>-7.2000000000000028</c:v>
                      </c:pt>
                      <c:pt idx="107">
                        <c:v>-7.8000000000000114</c:v>
                      </c:pt>
                      <c:pt idx="108">
                        <c:v>-7.8000000000000114</c:v>
                      </c:pt>
                      <c:pt idx="109">
                        <c:v>-7.2000000000000028</c:v>
                      </c:pt>
                      <c:pt idx="110">
                        <c:v>-7.7000000000000028</c:v>
                      </c:pt>
                      <c:pt idx="111">
                        <c:v>-8.1000000000000085</c:v>
                      </c:pt>
                      <c:pt idx="112">
                        <c:v>-8.1000000000000085</c:v>
                      </c:pt>
                      <c:pt idx="113">
                        <c:v>-7.3000000000000114</c:v>
                      </c:pt>
                      <c:pt idx="114">
                        <c:v>-7.2000000000000028</c:v>
                      </c:pt>
                      <c:pt idx="115">
                        <c:v>-7.3000000000000114</c:v>
                      </c:pt>
                      <c:pt idx="116">
                        <c:v>-7</c:v>
                      </c:pt>
                      <c:pt idx="117">
                        <c:v>-7.7000000000000028</c:v>
                      </c:pt>
                      <c:pt idx="118">
                        <c:v>-8.3000000000000114</c:v>
                      </c:pt>
                      <c:pt idx="119">
                        <c:v>-7.5</c:v>
                      </c:pt>
                      <c:pt idx="120">
                        <c:v>-8.3000000000000114</c:v>
                      </c:pt>
                      <c:pt idx="121">
                        <c:v>-7.4000000000000057</c:v>
                      </c:pt>
                      <c:pt idx="122">
                        <c:v>-7.4000000000000057</c:v>
                      </c:pt>
                      <c:pt idx="123">
                        <c:v>-8</c:v>
                      </c:pt>
                      <c:pt idx="124">
                        <c:v>-7.7000000000000028</c:v>
                      </c:pt>
                      <c:pt idx="125">
                        <c:v>-8.3000000000000114</c:v>
                      </c:pt>
                      <c:pt idx="126">
                        <c:v>-8.3000000000000114</c:v>
                      </c:pt>
                      <c:pt idx="127">
                        <c:v>-8.3000000000000114</c:v>
                      </c:pt>
                      <c:pt idx="128">
                        <c:v>-8.3000000000000114</c:v>
                      </c:pt>
                      <c:pt idx="129">
                        <c:v>-8.3000000000000114</c:v>
                      </c:pt>
                      <c:pt idx="130">
                        <c:v>-8.3000000000000114</c:v>
                      </c:pt>
                      <c:pt idx="131">
                        <c:v>-8.3000000000000114</c:v>
                      </c:pt>
                      <c:pt idx="132">
                        <c:v>-8.7000000000000028</c:v>
                      </c:pt>
                      <c:pt idx="133">
                        <c:v>-8.7000000000000028</c:v>
                      </c:pt>
                      <c:pt idx="134">
                        <c:v>-8.4000000000000057</c:v>
                      </c:pt>
                      <c:pt idx="135">
                        <c:v>-7.7000000000000028</c:v>
                      </c:pt>
                      <c:pt idx="136">
                        <c:v>-7.7000000000000028</c:v>
                      </c:pt>
                      <c:pt idx="137">
                        <c:v>-8.3000000000000114</c:v>
                      </c:pt>
                      <c:pt idx="138">
                        <c:v>-8.3000000000000114</c:v>
                      </c:pt>
                      <c:pt idx="139">
                        <c:v>-8.3000000000000114</c:v>
                      </c:pt>
                      <c:pt idx="140">
                        <c:v>-8.3000000000000114</c:v>
                      </c:pt>
                      <c:pt idx="141">
                        <c:v>-8.9000000000000057</c:v>
                      </c:pt>
                      <c:pt idx="142">
                        <c:v>-8.9000000000000057</c:v>
                      </c:pt>
                      <c:pt idx="143">
                        <c:v>-8.9000000000000057</c:v>
                      </c:pt>
                      <c:pt idx="144">
                        <c:v>-8.9000000000000057</c:v>
                      </c:pt>
                      <c:pt idx="145">
                        <c:v>-8.9000000000000057</c:v>
                      </c:pt>
                      <c:pt idx="146">
                        <c:v>-9.7000000000000028</c:v>
                      </c:pt>
                      <c:pt idx="147">
                        <c:v>-10.200000000000003</c:v>
                      </c:pt>
                      <c:pt idx="148">
                        <c:v>-9.4000000000000057</c:v>
                      </c:pt>
                      <c:pt idx="149">
                        <c:v>-8.2000000000000028</c:v>
                      </c:pt>
                      <c:pt idx="150">
                        <c:v>-8.1000000000000085</c:v>
                      </c:pt>
                      <c:pt idx="151">
                        <c:v>-10</c:v>
                      </c:pt>
                      <c:pt idx="152">
                        <c:v>-8.9000000000000057</c:v>
                      </c:pt>
                      <c:pt idx="153">
                        <c:v>-9.5</c:v>
                      </c:pt>
                      <c:pt idx="154">
                        <c:v>-9</c:v>
                      </c:pt>
                      <c:pt idx="155">
                        <c:v>-9</c:v>
                      </c:pt>
                      <c:pt idx="156">
                        <c:v>-8.6000000000000085</c:v>
                      </c:pt>
                      <c:pt idx="157">
                        <c:v>-8.9000000000000057</c:v>
                      </c:pt>
                      <c:pt idx="158">
                        <c:v>-8.3000000000000114</c:v>
                      </c:pt>
                      <c:pt idx="159">
                        <c:v>-8.9000000000000057</c:v>
                      </c:pt>
                      <c:pt idx="160">
                        <c:v>-8.6000000000000085</c:v>
                      </c:pt>
                      <c:pt idx="161">
                        <c:v>-8.8000000000000114</c:v>
                      </c:pt>
                      <c:pt idx="162">
                        <c:v>-8.8000000000000114</c:v>
                      </c:pt>
                      <c:pt idx="163">
                        <c:v>-8.8000000000000114</c:v>
                      </c:pt>
                      <c:pt idx="164">
                        <c:v>-8.5</c:v>
                      </c:pt>
                      <c:pt idx="165">
                        <c:v>-8.3000000000000114</c:v>
                      </c:pt>
                      <c:pt idx="166">
                        <c:v>-8.3000000000000114</c:v>
                      </c:pt>
                      <c:pt idx="167">
                        <c:v>-8.8000000000000114</c:v>
                      </c:pt>
                      <c:pt idx="168">
                        <c:v>-9</c:v>
                      </c:pt>
                      <c:pt idx="169">
                        <c:v>-8.9000000000000057</c:v>
                      </c:pt>
                      <c:pt idx="170">
                        <c:v>-8.4000000000000057</c:v>
                      </c:pt>
                      <c:pt idx="171">
                        <c:v>-9</c:v>
                      </c:pt>
                      <c:pt idx="172">
                        <c:v>-9.3000000000000114</c:v>
                      </c:pt>
                      <c:pt idx="173">
                        <c:v>-8</c:v>
                      </c:pt>
                      <c:pt idx="174">
                        <c:v>-8.1000000000000085</c:v>
                      </c:pt>
                      <c:pt idx="175">
                        <c:v>-8.8000000000000114</c:v>
                      </c:pt>
                      <c:pt idx="176">
                        <c:v>-8.6000000000000085</c:v>
                      </c:pt>
                      <c:pt idx="177">
                        <c:v>-8.1000000000000085</c:v>
                      </c:pt>
                      <c:pt idx="178">
                        <c:v>-8.6000000000000085</c:v>
                      </c:pt>
                      <c:pt idx="179">
                        <c:v>-8.1000000000000085</c:v>
                      </c:pt>
                      <c:pt idx="180">
                        <c:v>-7.9000000000000057</c:v>
                      </c:pt>
                      <c:pt idx="181">
                        <c:v>-9.1000000000000085</c:v>
                      </c:pt>
                      <c:pt idx="182">
                        <c:v>-8.7000000000000028</c:v>
                      </c:pt>
                      <c:pt idx="183">
                        <c:v>-8.2000000000000028</c:v>
                      </c:pt>
                      <c:pt idx="184">
                        <c:v>-8.5</c:v>
                      </c:pt>
                      <c:pt idx="185">
                        <c:v>-8.4000000000000057</c:v>
                      </c:pt>
                      <c:pt idx="186">
                        <c:v>-8.4000000000000057</c:v>
                      </c:pt>
                      <c:pt idx="187">
                        <c:v>-8.2000000000000028</c:v>
                      </c:pt>
                      <c:pt idx="188">
                        <c:v>-7.8000000000000114</c:v>
                      </c:pt>
                      <c:pt idx="189">
                        <c:v>-8.1000000000000085</c:v>
                      </c:pt>
                      <c:pt idx="190">
                        <c:v>-8.2000000000000028</c:v>
                      </c:pt>
                      <c:pt idx="191">
                        <c:v>-8.2000000000000028</c:v>
                      </c:pt>
                      <c:pt idx="192">
                        <c:v>-7.5</c:v>
                      </c:pt>
                      <c:pt idx="193">
                        <c:v>-8.4000000000000057</c:v>
                      </c:pt>
                      <c:pt idx="194">
                        <c:v>-7.1000000000000085</c:v>
                      </c:pt>
                      <c:pt idx="195">
                        <c:v>-8.1000000000000085</c:v>
                      </c:pt>
                      <c:pt idx="196">
                        <c:v>-9.2000000000000028</c:v>
                      </c:pt>
                      <c:pt idx="197">
                        <c:v>-8.1000000000000085</c:v>
                      </c:pt>
                      <c:pt idx="198">
                        <c:v>-8.5</c:v>
                      </c:pt>
                      <c:pt idx="199">
                        <c:v>-8.2000000000000028</c:v>
                      </c:pt>
                      <c:pt idx="200">
                        <c:v>-7.3000000000000114</c:v>
                      </c:pt>
                      <c:pt idx="201">
                        <c:v>-8.3000000000000114</c:v>
                      </c:pt>
                      <c:pt idx="202">
                        <c:v>-8.7000000000000028</c:v>
                      </c:pt>
                      <c:pt idx="203">
                        <c:v>-8.3000000000000114</c:v>
                      </c:pt>
                      <c:pt idx="204">
                        <c:v>-8.7000000000000028</c:v>
                      </c:pt>
                      <c:pt idx="205">
                        <c:v>-7.7000000000000028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1D7-4E80-9695-0EF3F187C3E5}"/>
                  </c:ext>
                </c:extLst>
              </c15:ser>
            </c15:filteredLineSeries>
          </c:ext>
        </c:extLst>
      </c:lineChart>
      <c:dateAx>
        <c:axId val="171708336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1080"/>
        <c:crosses val="autoZero"/>
        <c:auto val="1"/>
        <c:lblOffset val="100"/>
        <c:baseTimeUnit val="days"/>
        <c:majorUnit val="1"/>
        <c:majorTimeUnit val="days"/>
      </c:dateAx>
      <c:valAx>
        <c:axId val="171711080"/>
        <c:scaling>
          <c:orientation val="minMax"/>
          <c:max val="83"/>
          <c:min val="7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8336"/>
        <c:crosses val="autoZero"/>
        <c:crossBetween val="between"/>
        <c:majorUnit val="1"/>
      </c:valAx>
      <c:valAx>
        <c:axId val="171713824"/>
        <c:scaling>
          <c:orientation val="minMax"/>
          <c:max val="5500"/>
          <c:min val="0"/>
        </c:scaling>
        <c:delete val="0"/>
        <c:axPos val="r"/>
        <c:numFmt formatCode="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8728"/>
        <c:crosses val="max"/>
        <c:crossBetween val="between"/>
        <c:majorUnit val="500"/>
      </c:valAx>
      <c:dateAx>
        <c:axId val="171708728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17171382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517028267449566E-2"/>
          <c:y val="0.86934696939299905"/>
          <c:w val="0.89999991941817059"/>
          <c:h val="3.9228161747115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BDPMⅡ</a:t>
            </a:r>
            <a:r>
              <a:rPr lang="ja-JP" altLang="en-US"/>
              <a:t>痩身法</a:t>
            </a:r>
            <a:r>
              <a:rPr lang="en-US" altLang="ja-JP"/>
              <a:t>｢(</a:t>
            </a:r>
            <a:r>
              <a:rPr lang="ja-JP" altLang="en-US"/>
              <a:t>体重</a:t>
            </a:r>
            <a:r>
              <a:rPr lang="en-US" altLang="ja-JP"/>
              <a:t>×</a:t>
            </a:r>
            <a:r>
              <a:rPr lang="ja-JP" altLang="en-US"/>
              <a:t>総摂取カロリー</a:t>
            </a:r>
            <a:r>
              <a:rPr lang="en-US" altLang="ja-JP"/>
              <a:t>/</a:t>
            </a:r>
            <a:r>
              <a:rPr lang="ja-JP" altLang="en-US"/>
              <a:t>飲酒時摂取カロリー</a:t>
            </a:r>
            <a:r>
              <a:rPr lang="en-US" altLang="ja-JP"/>
              <a:t>/</a:t>
            </a:r>
            <a:r>
              <a:rPr lang="ja-JP" altLang="en-US"/>
              <a:t>運動消費</a:t>
            </a:r>
            <a:r>
              <a:rPr lang="en-US" altLang="ja-JP"/>
              <a:t>)</a:t>
            </a:r>
            <a:r>
              <a:rPr lang="ja-JP" altLang="en-US"/>
              <a:t>相関</a:t>
            </a:r>
            <a:r>
              <a:rPr lang="en-US" altLang="ja-JP"/>
              <a:t>｣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454825380992169E-2"/>
          <c:y val="0.11988926630449549"/>
          <c:w val="0.88295752669105187"/>
          <c:h val="0.65335227874182145"/>
        </c:manualLayout>
      </c:layout>
      <c:areaChart>
        <c:grouping val="stacked"/>
        <c:varyColors val="0"/>
        <c:ser>
          <c:idx val="7"/>
          <c:order val="7"/>
          <c:tx>
            <c:strRef>
              <c:f>基データ!$I$1</c:f>
              <c:strCache>
                <c:ptCount val="1"/>
                <c:pt idx="0">
                  <c:v>基礎代謝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基データ!$I$2:$I$207</c:f>
              <c:numCache>
                <c:formatCode>0_ </c:formatCode>
                <c:ptCount val="206"/>
                <c:pt idx="0">
                  <c:v>1649.1973244147157</c:v>
                </c:pt>
                <c:pt idx="1">
                  <c:v>1649.1973244147157</c:v>
                </c:pt>
                <c:pt idx="2">
                  <c:v>1656.0917343526039</c:v>
                </c:pt>
                <c:pt idx="3">
                  <c:v>1649.1973244147157</c:v>
                </c:pt>
                <c:pt idx="4">
                  <c:v>1637.7066411849021</c:v>
                </c:pt>
                <c:pt idx="5">
                  <c:v>1637.7066411849021</c:v>
                </c:pt>
                <c:pt idx="6">
                  <c:v>1637.7066411849021</c:v>
                </c:pt>
                <c:pt idx="7">
                  <c:v>1640.0047778308647</c:v>
                </c:pt>
                <c:pt idx="8">
                  <c:v>1630.8122312470139</c:v>
                </c:pt>
                <c:pt idx="9">
                  <c:v>1630.8122312470139</c:v>
                </c:pt>
                <c:pt idx="10">
                  <c:v>1630.8122312470139</c:v>
                </c:pt>
                <c:pt idx="11">
                  <c:v>1630.8122312470139</c:v>
                </c:pt>
                <c:pt idx="12">
                  <c:v>1636.557572861921</c:v>
                </c:pt>
                <c:pt idx="13">
                  <c:v>1628.5140946010511</c:v>
                </c:pt>
                <c:pt idx="14">
                  <c:v>1628.5140946010511</c:v>
                </c:pt>
                <c:pt idx="15">
                  <c:v>1628.5140946010511</c:v>
                </c:pt>
                <c:pt idx="16">
                  <c:v>1628.5140946010511</c:v>
                </c:pt>
                <c:pt idx="17">
                  <c:v>1619.3215480172003</c:v>
                </c:pt>
                <c:pt idx="18">
                  <c:v>1619.3215480172003</c:v>
                </c:pt>
                <c:pt idx="19">
                  <c:v>1619.3215480172003</c:v>
                </c:pt>
                <c:pt idx="20">
                  <c:v>1619.3215480172003</c:v>
                </c:pt>
                <c:pt idx="21">
                  <c:v>1613.5762064022933</c:v>
                </c:pt>
                <c:pt idx="22">
                  <c:v>1613.5762064022933</c:v>
                </c:pt>
                <c:pt idx="23">
                  <c:v>1627.3650262780698</c:v>
                </c:pt>
                <c:pt idx="24">
                  <c:v>1613.5762064022933</c:v>
                </c:pt>
                <c:pt idx="25">
                  <c:v>1613.5762064022933</c:v>
                </c:pt>
                <c:pt idx="26">
                  <c:v>1613.5762064022933</c:v>
                </c:pt>
                <c:pt idx="27">
                  <c:v>1610.1290014333492</c:v>
                </c:pt>
                <c:pt idx="28">
                  <c:v>1607.8308647873866</c:v>
                </c:pt>
                <c:pt idx="29">
                  <c:v>1612.427138079312</c:v>
                </c:pt>
                <c:pt idx="30">
                  <c:v>1603.2345914954612</c:v>
                </c:pt>
                <c:pt idx="31">
                  <c:v>1608.9799331103679</c:v>
                </c:pt>
                <c:pt idx="32">
                  <c:v>1600.9364548494984</c:v>
                </c:pt>
                <c:pt idx="33">
                  <c:v>1606.6817964644054</c:v>
                </c:pt>
                <c:pt idx="34">
                  <c:v>1606.6817964644054</c:v>
                </c:pt>
                <c:pt idx="35">
                  <c:v>1603.2345914954612</c:v>
                </c:pt>
                <c:pt idx="36">
                  <c:v>1603.2345914954612</c:v>
                </c:pt>
                <c:pt idx="37">
                  <c:v>1612.427138079312</c:v>
                </c:pt>
                <c:pt idx="38">
                  <c:v>1603.2345914954612</c:v>
                </c:pt>
                <c:pt idx="39">
                  <c:v>1602.0855231724795</c:v>
                </c:pt>
                <c:pt idx="40">
                  <c:v>1603.2345914954612</c:v>
                </c:pt>
                <c:pt idx="41">
                  <c:v>1607.8308647873866</c:v>
                </c:pt>
                <c:pt idx="42">
                  <c:v>1607.8308647873866</c:v>
                </c:pt>
                <c:pt idx="43">
                  <c:v>1612.427138079312</c:v>
                </c:pt>
                <c:pt idx="44">
                  <c:v>1604.3836598184423</c:v>
                </c:pt>
                <c:pt idx="45">
                  <c:v>1604.3836598184423</c:v>
                </c:pt>
                <c:pt idx="46">
                  <c:v>1597.4892498805541</c:v>
                </c:pt>
                <c:pt idx="47">
                  <c:v>1603.2345914954612</c:v>
                </c:pt>
                <c:pt idx="48">
                  <c:v>1599.7873865265167</c:v>
                </c:pt>
                <c:pt idx="49">
                  <c:v>1599.7873865265167</c:v>
                </c:pt>
                <c:pt idx="50">
                  <c:v>1604.3836598184423</c:v>
                </c:pt>
                <c:pt idx="51">
                  <c:v>1610.1290014333492</c:v>
                </c:pt>
                <c:pt idx="52">
                  <c:v>1594.0420449116102</c:v>
                </c:pt>
                <c:pt idx="53">
                  <c:v>1594.0420449116102</c:v>
                </c:pt>
                <c:pt idx="54">
                  <c:v>1599.7873865265167</c:v>
                </c:pt>
                <c:pt idx="55">
                  <c:v>1592.8929765886287</c:v>
                </c:pt>
                <c:pt idx="56">
                  <c:v>1587.1476349737218</c:v>
                </c:pt>
                <c:pt idx="57">
                  <c:v>1587.1476349737218</c:v>
                </c:pt>
                <c:pt idx="58">
                  <c:v>1587.1476349737218</c:v>
                </c:pt>
                <c:pt idx="59">
                  <c:v>1583.7004300047779</c:v>
                </c:pt>
                <c:pt idx="60">
                  <c:v>1590.5948399426659</c:v>
                </c:pt>
                <c:pt idx="61">
                  <c:v>1585.9985666507405</c:v>
                </c:pt>
                <c:pt idx="62">
                  <c:v>1585.9985666507405</c:v>
                </c:pt>
                <c:pt idx="63">
                  <c:v>1585.9985666507405</c:v>
                </c:pt>
                <c:pt idx="64">
                  <c:v>1585.9985666507405</c:v>
                </c:pt>
                <c:pt idx="65">
                  <c:v>1582.5513616817964</c:v>
                </c:pt>
                <c:pt idx="66">
                  <c:v>1582.5513616817964</c:v>
                </c:pt>
                <c:pt idx="67">
                  <c:v>1584.849498327759</c:v>
                </c:pt>
                <c:pt idx="68">
                  <c:v>1592.8929765886287</c:v>
                </c:pt>
                <c:pt idx="69">
                  <c:v>1577.955088389871</c:v>
                </c:pt>
                <c:pt idx="70">
                  <c:v>1574.5078834209271</c:v>
                </c:pt>
                <c:pt idx="71">
                  <c:v>1580.2532250358338</c:v>
                </c:pt>
                <c:pt idx="72">
                  <c:v>1580.2532250358338</c:v>
                </c:pt>
                <c:pt idx="73">
                  <c:v>1576.8060200668897</c:v>
                </c:pt>
                <c:pt idx="74">
                  <c:v>1580.2532250358338</c:v>
                </c:pt>
                <c:pt idx="75">
                  <c:v>1580.2532250358338</c:v>
                </c:pt>
                <c:pt idx="76">
                  <c:v>1571.0606784519825</c:v>
                </c:pt>
                <c:pt idx="77">
                  <c:v>1576.8060200668897</c:v>
                </c:pt>
                <c:pt idx="78">
                  <c:v>1576.8060200668897</c:v>
                </c:pt>
                <c:pt idx="79">
                  <c:v>1576.8060200668897</c:v>
                </c:pt>
                <c:pt idx="80">
                  <c:v>1569.9116101290015</c:v>
                </c:pt>
                <c:pt idx="81">
                  <c:v>1575.6569517439082</c:v>
                </c:pt>
                <c:pt idx="82">
                  <c:v>1575.6569517439082</c:v>
                </c:pt>
                <c:pt idx="83">
                  <c:v>1560.7190635451504</c:v>
                </c:pt>
                <c:pt idx="84">
                  <c:v>1566.4644051600574</c:v>
                </c:pt>
                <c:pt idx="85">
                  <c:v>1567.6134734830387</c:v>
                </c:pt>
                <c:pt idx="86">
                  <c:v>1563.0172001911133</c:v>
                </c:pt>
                <c:pt idx="87">
                  <c:v>1563.0172001911133</c:v>
                </c:pt>
                <c:pt idx="88">
                  <c:v>1566.4644051600574</c:v>
                </c:pt>
                <c:pt idx="89">
                  <c:v>1571.0606784519825</c:v>
                </c:pt>
                <c:pt idx="90">
                  <c:v>1563.0172001911133</c:v>
                </c:pt>
                <c:pt idx="91">
                  <c:v>1571.0606784519825</c:v>
                </c:pt>
                <c:pt idx="92">
                  <c:v>1567.6134734830387</c:v>
                </c:pt>
                <c:pt idx="93">
                  <c:v>1567.6134734830387</c:v>
                </c:pt>
                <c:pt idx="94">
                  <c:v>1566.4644051600574</c:v>
                </c:pt>
                <c:pt idx="95">
                  <c:v>1563.0172001911133</c:v>
                </c:pt>
                <c:pt idx="96">
                  <c:v>1571.0606784519825</c:v>
                </c:pt>
                <c:pt idx="97">
                  <c:v>1574.5078834209271</c:v>
                </c:pt>
                <c:pt idx="98">
                  <c:v>1572.2097467749641</c:v>
                </c:pt>
                <c:pt idx="99">
                  <c:v>1567.6134734830387</c:v>
                </c:pt>
                <c:pt idx="100">
                  <c:v>1568.7625418060202</c:v>
                </c:pt>
                <c:pt idx="101">
                  <c:v>1568.7625418060202</c:v>
                </c:pt>
                <c:pt idx="102">
                  <c:v>1568.7625418060202</c:v>
                </c:pt>
                <c:pt idx="103">
                  <c:v>1572.2097467749641</c:v>
                </c:pt>
                <c:pt idx="104">
                  <c:v>1566.4644051600574</c:v>
                </c:pt>
                <c:pt idx="105">
                  <c:v>1563.0172001911133</c:v>
                </c:pt>
                <c:pt idx="106">
                  <c:v>1566.4644051600574</c:v>
                </c:pt>
                <c:pt idx="107">
                  <c:v>1559.5699952221692</c:v>
                </c:pt>
                <c:pt idx="108">
                  <c:v>1559.5699952221692</c:v>
                </c:pt>
                <c:pt idx="109">
                  <c:v>1566.4644051600574</c:v>
                </c:pt>
                <c:pt idx="110">
                  <c:v>1560.7190635451504</c:v>
                </c:pt>
                <c:pt idx="111">
                  <c:v>1556.122790253225</c:v>
                </c:pt>
                <c:pt idx="112">
                  <c:v>1556.122790253225</c:v>
                </c:pt>
                <c:pt idx="113">
                  <c:v>1565.3153368370758</c:v>
                </c:pt>
                <c:pt idx="114">
                  <c:v>1566.4644051600574</c:v>
                </c:pt>
                <c:pt idx="115">
                  <c:v>1565.3153368370758</c:v>
                </c:pt>
                <c:pt idx="116">
                  <c:v>1568.7625418060202</c:v>
                </c:pt>
                <c:pt idx="117">
                  <c:v>1560.7190635451504</c:v>
                </c:pt>
                <c:pt idx="118">
                  <c:v>1553.8246536072625</c:v>
                </c:pt>
                <c:pt idx="119">
                  <c:v>1563.0172001911133</c:v>
                </c:pt>
                <c:pt idx="120">
                  <c:v>1553.8246536072625</c:v>
                </c:pt>
                <c:pt idx="121">
                  <c:v>1564.1662685140948</c:v>
                </c:pt>
                <c:pt idx="122">
                  <c:v>1564.1662685140948</c:v>
                </c:pt>
                <c:pt idx="123">
                  <c:v>1557.2718585762063</c:v>
                </c:pt>
                <c:pt idx="124">
                  <c:v>1560.7190635451504</c:v>
                </c:pt>
                <c:pt idx="125">
                  <c:v>1553.8246536072625</c:v>
                </c:pt>
                <c:pt idx="126">
                  <c:v>1553.8246536072625</c:v>
                </c:pt>
                <c:pt idx="127">
                  <c:v>1553.8246536072625</c:v>
                </c:pt>
                <c:pt idx="128">
                  <c:v>1553.8246536072625</c:v>
                </c:pt>
                <c:pt idx="129">
                  <c:v>1553.8246536072625</c:v>
                </c:pt>
                <c:pt idx="130">
                  <c:v>1553.8246536072625</c:v>
                </c:pt>
                <c:pt idx="131">
                  <c:v>1553.8246536072625</c:v>
                </c:pt>
                <c:pt idx="132">
                  <c:v>1549.2283803153371</c:v>
                </c:pt>
                <c:pt idx="133">
                  <c:v>1549.2283803153371</c:v>
                </c:pt>
                <c:pt idx="134">
                  <c:v>1552.6755852842807</c:v>
                </c:pt>
                <c:pt idx="135">
                  <c:v>1560.7190635451504</c:v>
                </c:pt>
                <c:pt idx="136">
                  <c:v>1560.7190635451504</c:v>
                </c:pt>
                <c:pt idx="137">
                  <c:v>1553.8246536072625</c:v>
                </c:pt>
                <c:pt idx="138">
                  <c:v>1553.8246536072625</c:v>
                </c:pt>
                <c:pt idx="139">
                  <c:v>1553.8246536072625</c:v>
                </c:pt>
                <c:pt idx="140">
                  <c:v>1553.8246536072625</c:v>
                </c:pt>
                <c:pt idx="141">
                  <c:v>1546.9302436693742</c:v>
                </c:pt>
                <c:pt idx="142">
                  <c:v>1546.9302436693742</c:v>
                </c:pt>
                <c:pt idx="143">
                  <c:v>1546.9302436693742</c:v>
                </c:pt>
                <c:pt idx="144">
                  <c:v>1546.9302436693742</c:v>
                </c:pt>
                <c:pt idx="145">
                  <c:v>1546.9302436693742</c:v>
                </c:pt>
                <c:pt idx="146">
                  <c:v>1537.7376970855232</c:v>
                </c:pt>
                <c:pt idx="147">
                  <c:v>1531.9923554706163</c:v>
                </c:pt>
                <c:pt idx="148">
                  <c:v>1541.1849020544671</c:v>
                </c:pt>
                <c:pt idx="149">
                  <c:v>1554.9737219302438</c:v>
                </c:pt>
                <c:pt idx="150">
                  <c:v>1556.122790253225</c:v>
                </c:pt>
                <c:pt idx="151">
                  <c:v>1534.2904921165791</c:v>
                </c:pt>
                <c:pt idx="152">
                  <c:v>1546.9302436693742</c:v>
                </c:pt>
                <c:pt idx="153">
                  <c:v>1540.035833731486</c:v>
                </c:pt>
                <c:pt idx="154">
                  <c:v>1545.7811753463927</c:v>
                </c:pt>
                <c:pt idx="155">
                  <c:v>1545.7811753463927</c:v>
                </c:pt>
                <c:pt idx="156">
                  <c:v>1550.3774486383181</c:v>
                </c:pt>
                <c:pt idx="157">
                  <c:v>1546.9302436693742</c:v>
                </c:pt>
                <c:pt idx="158">
                  <c:v>1553.8246536072625</c:v>
                </c:pt>
                <c:pt idx="159">
                  <c:v>1546.9302436693742</c:v>
                </c:pt>
                <c:pt idx="160">
                  <c:v>1550.3774486383181</c:v>
                </c:pt>
                <c:pt idx="161">
                  <c:v>1548.0793119923553</c:v>
                </c:pt>
                <c:pt idx="162">
                  <c:v>1548.0793119923553</c:v>
                </c:pt>
                <c:pt idx="163">
                  <c:v>1548.0793119923553</c:v>
                </c:pt>
                <c:pt idx="164">
                  <c:v>1551.5265169612996</c:v>
                </c:pt>
                <c:pt idx="165">
                  <c:v>1553.8246536072625</c:v>
                </c:pt>
                <c:pt idx="166">
                  <c:v>1553.8246536072625</c:v>
                </c:pt>
                <c:pt idx="167">
                  <c:v>1548.0793119923553</c:v>
                </c:pt>
                <c:pt idx="168">
                  <c:v>1545.7811753463927</c:v>
                </c:pt>
                <c:pt idx="169">
                  <c:v>1546.9302436693742</c:v>
                </c:pt>
                <c:pt idx="170">
                  <c:v>1552.6755852842807</c:v>
                </c:pt>
                <c:pt idx="171">
                  <c:v>1545.7811753463927</c:v>
                </c:pt>
                <c:pt idx="172">
                  <c:v>1542.3339703774484</c:v>
                </c:pt>
                <c:pt idx="173">
                  <c:v>1557.2718585762063</c:v>
                </c:pt>
                <c:pt idx="174">
                  <c:v>1556.122790253225</c:v>
                </c:pt>
                <c:pt idx="175">
                  <c:v>1548.0793119923553</c:v>
                </c:pt>
                <c:pt idx="176">
                  <c:v>1550.3774486383181</c:v>
                </c:pt>
                <c:pt idx="177">
                  <c:v>1556.122790253225</c:v>
                </c:pt>
                <c:pt idx="178">
                  <c:v>1550.3774486383181</c:v>
                </c:pt>
                <c:pt idx="179">
                  <c:v>1556.122790253225</c:v>
                </c:pt>
                <c:pt idx="180">
                  <c:v>1558.4209268991879</c:v>
                </c:pt>
                <c:pt idx="181">
                  <c:v>1544.6321070234117</c:v>
                </c:pt>
                <c:pt idx="182">
                  <c:v>1549.2283803153371</c:v>
                </c:pt>
                <c:pt idx="183">
                  <c:v>1554.9737219302438</c:v>
                </c:pt>
                <c:pt idx="184">
                  <c:v>1551.5265169612996</c:v>
                </c:pt>
                <c:pt idx="185">
                  <c:v>1552.6755852842807</c:v>
                </c:pt>
                <c:pt idx="186">
                  <c:v>1552.6755852842807</c:v>
                </c:pt>
                <c:pt idx="187">
                  <c:v>1554.9737219302438</c:v>
                </c:pt>
                <c:pt idx="188">
                  <c:v>1559.5699952221692</c:v>
                </c:pt>
                <c:pt idx="189">
                  <c:v>1556.122790253225</c:v>
                </c:pt>
                <c:pt idx="190">
                  <c:v>1554.9737219302438</c:v>
                </c:pt>
                <c:pt idx="191">
                  <c:v>1554.9737219302438</c:v>
                </c:pt>
                <c:pt idx="192">
                  <c:v>1563.0172001911133</c:v>
                </c:pt>
                <c:pt idx="193">
                  <c:v>1552.6755852842807</c:v>
                </c:pt>
                <c:pt idx="194">
                  <c:v>1567.6134734830387</c:v>
                </c:pt>
                <c:pt idx="195">
                  <c:v>1556.122790253225</c:v>
                </c:pt>
                <c:pt idx="196">
                  <c:v>1543.4830387004299</c:v>
                </c:pt>
                <c:pt idx="197">
                  <c:v>1556.122790253225</c:v>
                </c:pt>
                <c:pt idx="198">
                  <c:v>1551.5265169612996</c:v>
                </c:pt>
                <c:pt idx="199">
                  <c:v>1554.9737219302438</c:v>
                </c:pt>
                <c:pt idx="200">
                  <c:v>1565.3153368370758</c:v>
                </c:pt>
                <c:pt idx="201">
                  <c:v>1553.8246536072625</c:v>
                </c:pt>
                <c:pt idx="202">
                  <c:v>1549.2283803153371</c:v>
                </c:pt>
                <c:pt idx="203">
                  <c:v>1553.8246536072625</c:v>
                </c:pt>
                <c:pt idx="204">
                  <c:v>1549.2283803153371</c:v>
                </c:pt>
                <c:pt idx="205">
                  <c:v>1560.7190635451504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9-421C-903D-15CBFD07455D}"/>
            </c:ext>
          </c:extLst>
        </c:ser>
        <c:ser>
          <c:idx val="8"/>
          <c:order val="8"/>
          <c:tx>
            <c:strRef>
              <c:f>基データ!$J$1</c:f>
              <c:strCache>
                <c:ptCount val="1"/>
                <c:pt idx="0">
                  <c:v>70Kg時摂取目標CAL</c:v>
                </c:pt>
              </c:strCache>
            </c:strRef>
          </c:tx>
          <c:spPr>
            <a:solidFill>
              <a:srgbClr val="CCECFF"/>
            </a:solidFill>
            <a:ln>
              <a:noFill/>
            </a:ln>
            <a:effectLst/>
          </c:spP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基データ!$J$2:$J$207</c:f>
              <c:numCache>
                <c:formatCode>0_ </c:formatCode>
                <c:ptCount val="206"/>
                <c:pt idx="0">
                  <c:v>417.1070234113713</c:v>
                </c:pt>
                <c:pt idx="1">
                  <c:v>417.1070234113713</c:v>
                </c:pt>
                <c:pt idx="2">
                  <c:v>416.1877687529859</c:v>
                </c:pt>
                <c:pt idx="3">
                  <c:v>417.1070234113713</c:v>
                </c:pt>
                <c:pt idx="4">
                  <c:v>418.63911450867977</c:v>
                </c:pt>
                <c:pt idx="5">
                  <c:v>418.63911450867977</c:v>
                </c:pt>
                <c:pt idx="6">
                  <c:v>418.63911450867977</c:v>
                </c:pt>
                <c:pt idx="7">
                  <c:v>418.33269628921812</c:v>
                </c:pt>
                <c:pt idx="8">
                  <c:v>419.55836916706517</c:v>
                </c:pt>
                <c:pt idx="9">
                  <c:v>419.55836916706517</c:v>
                </c:pt>
                <c:pt idx="10">
                  <c:v>419.55836916706517</c:v>
                </c:pt>
                <c:pt idx="11">
                  <c:v>419.55836916706517</c:v>
                </c:pt>
                <c:pt idx="12">
                  <c:v>418.79232361841059</c:v>
                </c:pt>
                <c:pt idx="13">
                  <c:v>419.86478738652659</c:v>
                </c:pt>
                <c:pt idx="14">
                  <c:v>419.86478738652659</c:v>
                </c:pt>
                <c:pt idx="15">
                  <c:v>419.86478738652659</c:v>
                </c:pt>
                <c:pt idx="16">
                  <c:v>419.86478738652659</c:v>
                </c:pt>
                <c:pt idx="17">
                  <c:v>421.09046026437341</c:v>
                </c:pt>
                <c:pt idx="18">
                  <c:v>421.09046026437341</c:v>
                </c:pt>
                <c:pt idx="19">
                  <c:v>421.09046026437341</c:v>
                </c:pt>
                <c:pt idx="20">
                  <c:v>421.09046026437341</c:v>
                </c:pt>
                <c:pt idx="21">
                  <c:v>421.85650581302752</c:v>
                </c:pt>
                <c:pt idx="22">
                  <c:v>421.85650581302752</c:v>
                </c:pt>
                <c:pt idx="23">
                  <c:v>420.01799649625741</c:v>
                </c:pt>
                <c:pt idx="24">
                  <c:v>421.85650581302752</c:v>
                </c:pt>
                <c:pt idx="25">
                  <c:v>421.85650581302752</c:v>
                </c:pt>
                <c:pt idx="26">
                  <c:v>421.85650581302752</c:v>
                </c:pt>
                <c:pt idx="27">
                  <c:v>422.31613314222022</c:v>
                </c:pt>
                <c:pt idx="28">
                  <c:v>422.62255136168187</c:v>
                </c:pt>
                <c:pt idx="29">
                  <c:v>422.00971492275835</c:v>
                </c:pt>
                <c:pt idx="30">
                  <c:v>423.23538780060517</c:v>
                </c:pt>
                <c:pt idx="31">
                  <c:v>422.46934225195105</c:v>
                </c:pt>
                <c:pt idx="32">
                  <c:v>423.54180602006682</c:v>
                </c:pt>
                <c:pt idx="33">
                  <c:v>422.77576047141247</c:v>
                </c:pt>
                <c:pt idx="34">
                  <c:v>422.77576047141247</c:v>
                </c:pt>
                <c:pt idx="35">
                  <c:v>423.23538780060517</c:v>
                </c:pt>
                <c:pt idx="36">
                  <c:v>423.23538780060517</c:v>
                </c:pt>
                <c:pt idx="37">
                  <c:v>422.00971492275835</c:v>
                </c:pt>
                <c:pt idx="38">
                  <c:v>423.23538780060517</c:v>
                </c:pt>
                <c:pt idx="39">
                  <c:v>423.38859691033622</c:v>
                </c:pt>
                <c:pt idx="40">
                  <c:v>423.23538780060517</c:v>
                </c:pt>
                <c:pt idx="41">
                  <c:v>422.62255136168187</c:v>
                </c:pt>
                <c:pt idx="42">
                  <c:v>422.62255136168187</c:v>
                </c:pt>
                <c:pt idx="43">
                  <c:v>422.00971492275835</c:v>
                </c:pt>
                <c:pt idx="44">
                  <c:v>423.08217869087457</c:v>
                </c:pt>
                <c:pt idx="45">
                  <c:v>423.08217869087457</c:v>
                </c:pt>
                <c:pt idx="46">
                  <c:v>424.00143334925951</c:v>
                </c:pt>
                <c:pt idx="47">
                  <c:v>423.23538780060517</c:v>
                </c:pt>
                <c:pt idx="48">
                  <c:v>423.69501512979787</c:v>
                </c:pt>
                <c:pt idx="49">
                  <c:v>423.69501512979787</c:v>
                </c:pt>
                <c:pt idx="50">
                  <c:v>423.08217869087457</c:v>
                </c:pt>
                <c:pt idx="51">
                  <c:v>422.31613314222022</c:v>
                </c:pt>
                <c:pt idx="52">
                  <c:v>424.46106067845221</c:v>
                </c:pt>
                <c:pt idx="53">
                  <c:v>424.46106067845221</c:v>
                </c:pt>
                <c:pt idx="54">
                  <c:v>423.69501512979787</c:v>
                </c:pt>
                <c:pt idx="55">
                  <c:v>424.61426978818304</c:v>
                </c:pt>
                <c:pt idx="56">
                  <c:v>425.38031533683693</c:v>
                </c:pt>
                <c:pt idx="57">
                  <c:v>425.38031533683693</c:v>
                </c:pt>
                <c:pt idx="58">
                  <c:v>425.38031533683693</c:v>
                </c:pt>
                <c:pt idx="59">
                  <c:v>425.83994266602963</c:v>
                </c:pt>
                <c:pt idx="60">
                  <c:v>424.92068800764469</c:v>
                </c:pt>
                <c:pt idx="61">
                  <c:v>425.53352444656798</c:v>
                </c:pt>
                <c:pt idx="62">
                  <c:v>425.53352444656798</c:v>
                </c:pt>
                <c:pt idx="63">
                  <c:v>425.53352444656798</c:v>
                </c:pt>
                <c:pt idx="64">
                  <c:v>425.53352444656798</c:v>
                </c:pt>
                <c:pt idx="65">
                  <c:v>425.99315177576045</c:v>
                </c:pt>
                <c:pt idx="66">
                  <c:v>425.99315177576045</c:v>
                </c:pt>
                <c:pt idx="67">
                  <c:v>425.6867335562988</c:v>
                </c:pt>
                <c:pt idx="68">
                  <c:v>424.61426978818304</c:v>
                </c:pt>
                <c:pt idx="69">
                  <c:v>426.60598821468398</c:v>
                </c:pt>
                <c:pt idx="70">
                  <c:v>427.06561554387645</c:v>
                </c:pt>
                <c:pt idx="71">
                  <c:v>426.29956999522233</c:v>
                </c:pt>
                <c:pt idx="72">
                  <c:v>426.29956999522233</c:v>
                </c:pt>
                <c:pt idx="73">
                  <c:v>426.75919732441457</c:v>
                </c:pt>
                <c:pt idx="74">
                  <c:v>426.29956999522233</c:v>
                </c:pt>
                <c:pt idx="75">
                  <c:v>426.29956999522233</c:v>
                </c:pt>
                <c:pt idx="76">
                  <c:v>427.52524287306915</c:v>
                </c:pt>
                <c:pt idx="77">
                  <c:v>426.75919732441457</c:v>
                </c:pt>
                <c:pt idx="78">
                  <c:v>426.75919732441457</c:v>
                </c:pt>
                <c:pt idx="79">
                  <c:v>426.75919732441457</c:v>
                </c:pt>
                <c:pt idx="80">
                  <c:v>427.67845198279997</c:v>
                </c:pt>
                <c:pt idx="81">
                  <c:v>426.91240643414585</c:v>
                </c:pt>
                <c:pt idx="82">
                  <c:v>426.91240643414585</c:v>
                </c:pt>
                <c:pt idx="83">
                  <c:v>428.90412486064679</c:v>
                </c:pt>
                <c:pt idx="84">
                  <c:v>428.13807931199244</c:v>
                </c:pt>
                <c:pt idx="85">
                  <c:v>427.98487020226162</c:v>
                </c:pt>
                <c:pt idx="86">
                  <c:v>428.59770664118491</c:v>
                </c:pt>
                <c:pt idx="87">
                  <c:v>428.59770664118491</c:v>
                </c:pt>
                <c:pt idx="88">
                  <c:v>428.13807931199244</c:v>
                </c:pt>
                <c:pt idx="89">
                  <c:v>427.52524287306915</c:v>
                </c:pt>
                <c:pt idx="90">
                  <c:v>428.59770664118491</c:v>
                </c:pt>
                <c:pt idx="91">
                  <c:v>427.52524287306915</c:v>
                </c:pt>
                <c:pt idx="92">
                  <c:v>427.98487020226162</c:v>
                </c:pt>
                <c:pt idx="93">
                  <c:v>427.98487020226162</c:v>
                </c:pt>
                <c:pt idx="94">
                  <c:v>428.13807931199244</c:v>
                </c:pt>
                <c:pt idx="95">
                  <c:v>428.59770664118491</c:v>
                </c:pt>
                <c:pt idx="96">
                  <c:v>427.52524287306915</c:v>
                </c:pt>
                <c:pt idx="97">
                  <c:v>427.06561554387645</c:v>
                </c:pt>
                <c:pt idx="98">
                  <c:v>427.37203376333832</c:v>
                </c:pt>
                <c:pt idx="99">
                  <c:v>427.98487020226162</c:v>
                </c:pt>
                <c:pt idx="100">
                  <c:v>427.83166109253057</c:v>
                </c:pt>
                <c:pt idx="101">
                  <c:v>427.83166109253057</c:v>
                </c:pt>
                <c:pt idx="102">
                  <c:v>427.83166109253057</c:v>
                </c:pt>
                <c:pt idx="103">
                  <c:v>427.37203376333832</c:v>
                </c:pt>
                <c:pt idx="104">
                  <c:v>428.13807931199244</c:v>
                </c:pt>
                <c:pt idx="105">
                  <c:v>428.59770664118491</c:v>
                </c:pt>
                <c:pt idx="106">
                  <c:v>428.13807931199244</c:v>
                </c:pt>
                <c:pt idx="107">
                  <c:v>429.05733397037739</c:v>
                </c:pt>
                <c:pt idx="108">
                  <c:v>429.05733397037739</c:v>
                </c:pt>
                <c:pt idx="109">
                  <c:v>428.13807931199244</c:v>
                </c:pt>
                <c:pt idx="110">
                  <c:v>428.90412486064679</c:v>
                </c:pt>
                <c:pt idx="111">
                  <c:v>429.51696129957008</c:v>
                </c:pt>
                <c:pt idx="112">
                  <c:v>429.51696129957008</c:v>
                </c:pt>
                <c:pt idx="113">
                  <c:v>428.29128842172327</c:v>
                </c:pt>
                <c:pt idx="114">
                  <c:v>428.13807931199244</c:v>
                </c:pt>
                <c:pt idx="115">
                  <c:v>428.29128842172327</c:v>
                </c:pt>
                <c:pt idx="116">
                  <c:v>427.83166109253057</c:v>
                </c:pt>
                <c:pt idx="117">
                  <c:v>428.90412486064679</c:v>
                </c:pt>
                <c:pt idx="118">
                  <c:v>429.82337951903173</c:v>
                </c:pt>
                <c:pt idx="119">
                  <c:v>428.59770664118491</c:v>
                </c:pt>
                <c:pt idx="120">
                  <c:v>429.82337951903173</c:v>
                </c:pt>
                <c:pt idx="121">
                  <c:v>428.44449753145409</c:v>
                </c:pt>
                <c:pt idx="122">
                  <c:v>428.44449753145409</c:v>
                </c:pt>
                <c:pt idx="123">
                  <c:v>429.36375218983926</c:v>
                </c:pt>
                <c:pt idx="124">
                  <c:v>428.90412486064679</c:v>
                </c:pt>
                <c:pt idx="125">
                  <c:v>429.82337951903173</c:v>
                </c:pt>
                <c:pt idx="126">
                  <c:v>429.82337951903173</c:v>
                </c:pt>
                <c:pt idx="127">
                  <c:v>429.82337951903173</c:v>
                </c:pt>
                <c:pt idx="128">
                  <c:v>429.82337951903173</c:v>
                </c:pt>
                <c:pt idx="129">
                  <c:v>429.82337951903173</c:v>
                </c:pt>
                <c:pt idx="130">
                  <c:v>429.82337951903173</c:v>
                </c:pt>
                <c:pt idx="131">
                  <c:v>429.82337951903173</c:v>
                </c:pt>
                <c:pt idx="132">
                  <c:v>430.43621595795503</c:v>
                </c:pt>
                <c:pt idx="133">
                  <c:v>430.43621595795503</c:v>
                </c:pt>
                <c:pt idx="134">
                  <c:v>429.97658862876256</c:v>
                </c:pt>
                <c:pt idx="135">
                  <c:v>428.90412486064679</c:v>
                </c:pt>
                <c:pt idx="136">
                  <c:v>428.90412486064679</c:v>
                </c:pt>
                <c:pt idx="137">
                  <c:v>429.82337951903173</c:v>
                </c:pt>
                <c:pt idx="138">
                  <c:v>429.82337951903173</c:v>
                </c:pt>
                <c:pt idx="139">
                  <c:v>429.82337951903173</c:v>
                </c:pt>
                <c:pt idx="140">
                  <c:v>429.82337951903173</c:v>
                </c:pt>
                <c:pt idx="141">
                  <c:v>430.7426341774169</c:v>
                </c:pt>
                <c:pt idx="142">
                  <c:v>430.7426341774169</c:v>
                </c:pt>
                <c:pt idx="143">
                  <c:v>430.7426341774169</c:v>
                </c:pt>
                <c:pt idx="144">
                  <c:v>430.7426341774169</c:v>
                </c:pt>
                <c:pt idx="145">
                  <c:v>430.7426341774169</c:v>
                </c:pt>
                <c:pt idx="146">
                  <c:v>431.96830705526372</c:v>
                </c:pt>
                <c:pt idx="147">
                  <c:v>432.73435260391784</c:v>
                </c:pt>
                <c:pt idx="148">
                  <c:v>431.50867972607102</c:v>
                </c:pt>
                <c:pt idx="149">
                  <c:v>429.67017040930091</c:v>
                </c:pt>
                <c:pt idx="150">
                  <c:v>429.51696129957008</c:v>
                </c:pt>
                <c:pt idx="151">
                  <c:v>432.42793438445619</c:v>
                </c:pt>
                <c:pt idx="152">
                  <c:v>430.7426341774169</c:v>
                </c:pt>
                <c:pt idx="153">
                  <c:v>431.66188883580185</c:v>
                </c:pt>
                <c:pt idx="154">
                  <c:v>430.89584328714773</c:v>
                </c:pt>
                <c:pt idx="155">
                  <c:v>430.89584328714773</c:v>
                </c:pt>
                <c:pt idx="156">
                  <c:v>430.2830068482242</c:v>
                </c:pt>
                <c:pt idx="157">
                  <c:v>430.7426341774169</c:v>
                </c:pt>
                <c:pt idx="158">
                  <c:v>429.82337951903173</c:v>
                </c:pt>
                <c:pt idx="159">
                  <c:v>430.7426341774169</c:v>
                </c:pt>
                <c:pt idx="160">
                  <c:v>430.2830068482242</c:v>
                </c:pt>
                <c:pt idx="161">
                  <c:v>430.58942506768608</c:v>
                </c:pt>
                <c:pt idx="162">
                  <c:v>430.58942506768608</c:v>
                </c:pt>
                <c:pt idx="163">
                  <c:v>430.58942506768608</c:v>
                </c:pt>
                <c:pt idx="164">
                  <c:v>430.12979773849338</c:v>
                </c:pt>
                <c:pt idx="165">
                  <c:v>429.82337951903173</c:v>
                </c:pt>
                <c:pt idx="166">
                  <c:v>429.82337951903173</c:v>
                </c:pt>
                <c:pt idx="167">
                  <c:v>430.58942506768608</c:v>
                </c:pt>
                <c:pt idx="168">
                  <c:v>430.89584328714773</c:v>
                </c:pt>
                <c:pt idx="169">
                  <c:v>430.7426341774169</c:v>
                </c:pt>
                <c:pt idx="170">
                  <c:v>429.97658862876256</c:v>
                </c:pt>
                <c:pt idx="171">
                  <c:v>430.89584328714773</c:v>
                </c:pt>
                <c:pt idx="172">
                  <c:v>431.3554706163402</c:v>
                </c:pt>
                <c:pt idx="173">
                  <c:v>429.36375218983926</c:v>
                </c:pt>
                <c:pt idx="174">
                  <c:v>429.51696129957008</c:v>
                </c:pt>
                <c:pt idx="175">
                  <c:v>430.58942506768608</c:v>
                </c:pt>
                <c:pt idx="176">
                  <c:v>430.2830068482242</c:v>
                </c:pt>
                <c:pt idx="177">
                  <c:v>429.51696129957008</c:v>
                </c:pt>
                <c:pt idx="178">
                  <c:v>430.2830068482242</c:v>
                </c:pt>
                <c:pt idx="179">
                  <c:v>429.51696129957008</c:v>
                </c:pt>
                <c:pt idx="180">
                  <c:v>429.21054308010844</c:v>
                </c:pt>
                <c:pt idx="181">
                  <c:v>431.04905239687855</c:v>
                </c:pt>
                <c:pt idx="182">
                  <c:v>430.43621595795503</c:v>
                </c:pt>
                <c:pt idx="183">
                  <c:v>429.67017040930091</c:v>
                </c:pt>
                <c:pt idx="184">
                  <c:v>430.12979773849338</c:v>
                </c:pt>
                <c:pt idx="185">
                  <c:v>429.97658862876256</c:v>
                </c:pt>
                <c:pt idx="186">
                  <c:v>429.97658862876256</c:v>
                </c:pt>
                <c:pt idx="187">
                  <c:v>429.67017040930091</c:v>
                </c:pt>
                <c:pt idx="188">
                  <c:v>429.05733397037739</c:v>
                </c:pt>
                <c:pt idx="189">
                  <c:v>429.51696129957008</c:v>
                </c:pt>
                <c:pt idx="190">
                  <c:v>429.67017040930091</c:v>
                </c:pt>
                <c:pt idx="191">
                  <c:v>429.67017040930091</c:v>
                </c:pt>
                <c:pt idx="192">
                  <c:v>428.59770664118491</c:v>
                </c:pt>
                <c:pt idx="193">
                  <c:v>429.97658862876256</c:v>
                </c:pt>
                <c:pt idx="194">
                  <c:v>427.98487020226162</c:v>
                </c:pt>
                <c:pt idx="195">
                  <c:v>429.51696129957008</c:v>
                </c:pt>
                <c:pt idx="196">
                  <c:v>431.20226150660937</c:v>
                </c:pt>
                <c:pt idx="197">
                  <c:v>429.51696129957008</c:v>
                </c:pt>
                <c:pt idx="198">
                  <c:v>430.12979773849338</c:v>
                </c:pt>
                <c:pt idx="199">
                  <c:v>429.67017040930091</c:v>
                </c:pt>
                <c:pt idx="200">
                  <c:v>428.29128842172327</c:v>
                </c:pt>
                <c:pt idx="201">
                  <c:v>429.82337951903173</c:v>
                </c:pt>
                <c:pt idx="202">
                  <c:v>430.43621595795503</c:v>
                </c:pt>
                <c:pt idx="203">
                  <c:v>429.82337951903173</c:v>
                </c:pt>
                <c:pt idx="204">
                  <c:v>430.43621595795503</c:v>
                </c:pt>
                <c:pt idx="205">
                  <c:v>428.90412486064679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1-4F44-B45B-8F29B5FB2E30}"/>
            </c:ext>
          </c:extLst>
        </c:ser>
        <c:ser>
          <c:idx val="9"/>
          <c:order val="9"/>
          <c:tx>
            <c:strRef>
              <c:f>基データ!$K$1</c:f>
              <c:strCache>
                <c:ptCount val="1"/>
                <c:pt idx="0">
                  <c:v>運動消費CAL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基データ!$K$2:$K$207</c:f>
              <c:numCache>
                <c:formatCode>0_ </c:formatCode>
                <c:ptCount val="206"/>
                <c:pt idx="0">
                  <c:v>177</c:v>
                </c:pt>
                <c:pt idx="1">
                  <c:v>309</c:v>
                </c:pt>
                <c:pt idx="2">
                  <c:v>212</c:v>
                </c:pt>
                <c:pt idx="3">
                  <c:v>636</c:v>
                </c:pt>
                <c:pt idx="4">
                  <c:v>264</c:v>
                </c:pt>
                <c:pt idx="5">
                  <c:v>272</c:v>
                </c:pt>
                <c:pt idx="6">
                  <c:v>399</c:v>
                </c:pt>
                <c:pt idx="7">
                  <c:v>341</c:v>
                </c:pt>
                <c:pt idx="8">
                  <c:v>128</c:v>
                </c:pt>
                <c:pt idx="9">
                  <c:v>899</c:v>
                </c:pt>
                <c:pt idx="10">
                  <c:v>940</c:v>
                </c:pt>
                <c:pt idx="11">
                  <c:v>668</c:v>
                </c:pt>
                <c:pt idx="12">
                  <c:v>592</c:v>
                </c:pt>
                <c:pt idx="13">
                  <c:v>214</c:v>
                </c:pt>
                <c:pt idx="14">
                  <c:v>331</c:v>
                </c:pt>
                <c:pt idx="15">
                  <c:v>180</c:v>
                </c:pt>
                <c:pt idx="16">
                  <c:v>277</c:v>
                </c:pt>
                <c:pt idx="17">
                  <c:v>639</c:v>
                </c:pt>
                <c:pt idx="18">
                  <c:v>486</c:v>
                </c:pt>
                <c:pt idx="19">
                  <c:v>835</c:v>
                </c:pt>
                <c:pt idx="20">
                  <c:v>289</c:v>
                </c:pt>
                <c:pt idx="21">
                  <c:v>626</c:v>
                </c:pt>
                <c:pt idx="22">
                  <c:v>623</c:v>
                </c:pt>
                <c:pt idx="23">
                  <c:v>814</c:v>
                </c:pt>
                <c:pt idx="24">
                  <c:v>590</c:v>
                </c:pt>
                <c:pt idx="25">
                  <c:v>139</c:v>
                </c:pt>
                <c:pt idx="26">
                  <c:v>313</c:v>
                </c:pt>
                <c:pt idx="27">
                  <c:v>508</c:v>
                </c:pt>
                <c:pt idx="28">
                  <c:v>506</c:v>
                </c:pt>
                <c:pt idx="29">
                  <c:v>298</c:v>
                </c:pt>
                <c:pt idx="30">
                  <c:v>327</c:v>
                </c:pt>
                <c:pt idx="31">
                  <c:v>349</c:v>
                </c:pt>
                <c:pt idx="32">
                  <c:v>369</c:v>
                </c:pt>
                <c:pt idx="33">
                  <c:v>510</c:v>
                </c:pt>
                <c:pt idx="34">
                  <c:v>868</c:v>
                </c:pt>
                <c:pt idx="35">
                  <c:v>165</c:v>
                </c:pt>
                <c:pt idx="36">
                  <c:v>427</c:v>
                </c:pt>
                <c:pt idx="37">
                  <c:v>869</c:v>
                </c:pt>
                <c:pt idx="38">
                  <c:v>538</c:v>
                </c:pt>
                <c:pt idx="39">
                  <c:v>577</c:v>
                </c:pt>
                <c:pt idx="40">
                  <c:v>713</c:v>
                </c:pt>
                <c:pt idx="41">
                  <c:v>464</c:v>
                </c:pt>
                <c:pt idx="42">
                  <c:v>579</c:v>
                </c:pt>
                <c:pt idx="43">
                  <c:v>517</c:v>
                </c:pt>
                <c:pt idx="44">
                  <c:v>452</c:v>
                </c:pt>
                <c:pt idx="45">
                  <c:v>436</c:v>
                </c:pt>
                <c:pt idx="46">
                  <c:v>587</c:v>
                </c:pt>
                <c:pt idx="47">
                  <c:v>544</c:v>
                </c:pt>
                <c:pt idx="48">
                  <c:v>384</c:v>
                </c:pt>
                <c:pt idx="49">
                  <c:v>526</c:v>
                </c:pt>
                <c:pt idx="50">
                  <c:v>651</c:v>
                </c:pt>
                <c:pt idx="51">
                  <c:v>656</c:v>
                </c:pt>
                <c:pt idx="52">
                  <c:v>515</c:v>
                </c:pt>
                <c:pt idx="53">
                  <c:v>565</c:v>
                </c:pt>
                <c:pt idx="54">
                  <c:v>500</c:v>
                </c:pt>
                <c:pt idx="55">
                  <c:v>1080</c:v>
                </c:pt>
                <c:pt idx="56">
                  <c:v>336</c:v>
                </c:pt>
                <c:pt idx="57">
                  <c:v>950</c:v>
                </c:pt>
                <c:pt idx="58">
                  <c:v>386</c:v>
                </c:pt>
                <c:pt idx="59">
                  <c:v>442</c:v>
                </c:pt>
                <c:pt idx="60">
                  <c:v>840</c:v>
                </c:pt>
                <c:pt idx="61">
                  <c:v>840</c:v>
                </c:pt>
                <c:pt idx="62">
                  <c:v>423</c:v>
                </c:pt>
                <c:pt idx="63">
                  <c:v>408</c:v>
                </c:pt>
                <c:pt idx="64">
                  <c:v>564</c:v>
                </c:pt>
                <c:pt idx="65">
                  <c:v>632</c:v>
                </c:pt>
                <c:pt idx="66">
                  <c:v>310</c:v>
                </c:pt>
                <c:pt idx="67">
                  <c:v>345</c:v>
                </c:pt>
                <c:pt idx="68">
                  <c:v>706</c:v>
                </c:pt>
                <c:pt idx="69">
                  <c:v>562</c:v>
                </c:pt>
                <c:pt idx="70">
                  <c:v>313</c:v>
                </c:pt>
                <c:pt idx="71">
                  <c:v>333</c:v>
                </c:pt>
                <c:pt idx="72">
                  <c:v>288</c:v>
                </c:pt>
                <c:pt idx="73">
                  <c:v>336</c:v>
                </c:pt>
                <c:pt idx="74">
                  <c:v>405</c:v>
                </c:pt>
                <c:pt idx="75">
                  <c:v>474</c:v>
                </c:pt>
                <c:pt idx="76">
                  <c:v>245</c:v>
                </c:pt>
                <c:pt idx="77">
                  <c:v>571</c:v>
                </c:pt>
                <c:pt idx="78">
                  <c:v>571</c:v>
                </c:pt>
                <c:pt idx="79">
                  <c:v>656</c:v>
                </c:pt>
                <c:pt idx="80">
                  <c:v>344</c:v>
                </c:pt>
                <c:pt idx="81">
                  <c:v>462</c:v>
                </c:pt>
                <c:pt idx="82">
                  <c:v>423</c:v>
                </c:pt>
                <c:pt idx="83">
                  <c:v>744</c:v>
                </c:pt>
                <c:pt idx="84">
                  <c:v>875</c:v>
                </c:pt>
                <c:pt idx="85">
                  <c:v>229</c:v>
                </c:pt>
                <c:pt idx="86">
                  <c:v>369</c:v>
                </c:pt>
                <c:pt idx="87">
                  <c:v>512</c:v>
                </c:pt>
                <c:pt idx="88">
                  <c:v>171</c:v>
                </c:pt>
                <c:pt idx="89">
                  <c:v>230</c:v>
                </c:pt>
                <c:pt idx="90">
                  <c:v>241</c:v>
                </c:pt>
                <c:pt idx="91">
                  <c:v>260</c:v>
                </c:pt>
                <c:pt idx="92">
                  <c:v>510</c:v>
                </c:pt>
                <c:pt idx="93">
                  <c:v>479</c:v>
                </c:pt>
                <c:pt idx="94">
                  <c:v>75</c:v>
                </c:pt>
                <c:pt idx="95">
                  <c:v>311</c:v>
                </c:pt>
                <c:pt idx="96">
                  <c:v>695</c:v>
                </c:pt>
                <c:pt idx="97">
                  <c:v>262</c:v>
                </c:pt>
                <c:pt idx="98">
                  <c:v>1277</c:v>
                </c:pt>
                <c:pt idx="99">
                  <c:v>119</c:v>
                </c:pt>
                <c:pt idx="100">
                  <c:v>146</c:v>
                </c:pt>
                <c:pt idx="101">
                  <c:v>643</c:v>
                </c:pt>
                <c:pt idx="102">
                  <c:v>234</c:v>
                </c:pt>
                <c:pt idx="103">
                  <c:v>313</c:v>
                </c:pt>
                <c:pt idx="104">
                  <c:v>580</c:v>
                </c:pt>
                <c:pt idx="105">
                  <c:v>449</c:v>
                </c:pt>
                <c:pt idx="106">
                  <c:v>556</c:v>
                </c:pt>
                <c:pt idx="107">
                  <c:v>849</c:v>
                </c:pt>
                <c:pt idx="108">
                  <c:v>83</c:v>
                </c:pt>
                <c:pt idx="109">
                  <c:v>457</c:v>
                </c:pt>
                <c:pt idx="110">
                  <c:v>708</c:v>
                </c:pt>
                <c:pt idx="111">
                  <c:v>198</c:v>
                </c:pt>
                <c:pt idx="112">
                  <c:v>751</c:v>
                </c:pt>
                <c:pt idx="113">
                  <c:v>496</c:v>
                </c:pt>
                <c:pt idx="114">
                  <c:v>319</c:v>
                </c:pt>
                <c:pt idx="115">
                  <c:v>127</c:v>
                </c:pt>
                <c:pt idx="116">
                  <c:v>858</c:v>
                </c:pt>
                <c:pt idx="117">
                  <c:v>708</c:v>
                </c:pt>
                <c:pt idx="118">
                  <c:v>398</c:v>
                </c:pt>
                <c:pt idx="119">
                  <c:v>311</c:v>
                </c:pt>
                <c:pt idx="120">
                  <c:v>222</c:v>
                </c:pt>
                <c:pt idx="121">
                  <c:v>214</c:v>
                </c:pt>
                <c:pt idx="122">
                  <c:v>190</c:v>
                </c:pt>
                <c:pt idx="123">
                  <c:v>192</c:v>
                </c:pt>
                <c:pt idx="124">
                  <c:v>604</c:v>
                </c:pt>
                <c:pt idx="125">
                  <c:v>429</c:v>
                </c:pt>
                <c:pt idx="126">
                  <c:v>224</c:v>
                </c:pt>
                <c:pt idx="127">
                  <c:v>324</c:v>
                </c:pt>
                <c:pt idx="128">
                  <c:v>271</c:v>
                </c:pt>
                <c:pt idx="129">
                  <c:v>204</c:v>
                </c:pt>
                <c:pt idx="130">
                  <c:v>206</c:v>
                </c:pt>
                <c:pt idx="131">
                  <c:v>706</c:v>
                </c:pt>
                <c:pt idx="132">
                  <c:v>380</c:v>
                </c:pt>
                <c:pt idx="133">
                  <c:v>390</c:v>
                </c:pt>
                <c:pt idx="134">
                  <c:v>251</c:v>
                </c:pt>
                <c:pt idx="135">
                  <c:v>355</c:v>
                </c:pt>
                <c:pt idx="136">
                  <c:v>304</c:v>
                </c:pt>
                <c:pt idx="137">
                  <c:v>414</c:v>
                </c:pt>
                <c:pt idx="138">
                  <c:v>673</c:v>
                </c:pt>
                <c:pt idx="139">
                  <c:v>206</c:v>
                </c:pt>
                <c:pt idx="140">
                  <c:v>262</c:v>
                </c:pt>
                <c:pt idx="141">
                  <c:v>253</c:v>
                </c:pt>
                <c:pt idx="142">
                  <c:v>294</c:v>
                </c:pt>
                <c:pt idx="143">
                  <c:v>276</c:v>
                </c:pt>
                <c:pt idx="144">
                  <c:v>330</c:v>
                </c:pt>
                <c:pt idx="145">
                  <c:v>251</c:v>
                </c:pt>
                <c:pt idx="146">
                  <c:v>434</c:v>
                </c:pt>
                <c:pt idx="147">
                  <c:v>134</c:v>
                </c:pt>
                <c:pt idx="148">
                  <c:v>300</c:v>
                </c:pt>
                <c:pt idx="149">
                  <c:v>237</c:v>
                </c:pt>
                <c:pt idx="150">
                  <c:v>589</c:v>
                </c:pt>
                <c:pt idx="151">
                  <c:v>299</c:v>
                </c:pt>
                <c:pt idx="152">
                  <c:v>299</c:v>
                </c:pt>
                <c:pt idx="153">
                  <c:v>436</c:v>
                </c:pt>
                <c:pt idx="154">
                  <c:v>187</c:v>
                </c:pt>
                <c:pt idx="155">
                  <c:v>207</c:v>
                </c:pt>
                <c:pt idx="156">
                  <c:v>299</c:v>
                </c:pt>
                <c:pt idx="157">
                  <c:v>354</c:v>
                </c:pt>
                <c:pt idx="158">
                  <c:v>385</c:v>
                </c:pt>
                <c:pt idx="159">
                  <c:v>702</c:v>
                </c:pt>
                <c:pt idx="160">
                  <c:v>59</c:v>
                </c:pt>
                <c:pt idx="161">
                  <c:v>194</c:v>
                </c:pt>
                <c:pt idx="162">
                  <c:v>111</c:v>
                </c:pt>
                <c:pt idx="163">
                  <c:v>297</c:v>
                </c:pt>
                <c:pt idx="164">
                  <c:v>463</c:v>
                </c:pt>
                <c:pt idx="165">
                  <c:v>346</c:v>
                </c:pt>
                <c:pt idx="166">
                  <c:v>369</c:v>
                </c:pt>
                <c:pt idx="167">
                  <c:v>507</c:v>
                </c:pt>
                <c:pt idx="168">
                  <c:v>701</c:v>
                </c:pt>
                <c:pt idx="169">
                  <c:v>222</c:v>
                </c:pt>
                <c:pt idx="170">
                  <c:v>407</c:v>
                </c:pt>
                <c:pt idx="171">
                  <c:v>244</c:v>
                </c:pt>
                <c:pt idx="172">
                  <c:v>383</c:v>
                </c:pt>
                <c:pt idx="173">
                  <c:v>605</c:v>
                </c:pt>
                <c:pt idx="174">
                  <c:v>815</c:v>
                </c:pt>
                <c:pt idx="175">
                  <c:v>233</c:v>
                </c:pt>
                <c:pt idx="176">
                  <c:v>314</c:v>
                </c:pt>
                <c:pt idx="177">
                  <c:v>180</c:v>
                </c:pt>
                <c:pt idx="178">
                  <c:v>372</c:v>
                </c:pt>
                <c:pt idx="179">
                  <c:v>421</c:v>
                </c:pt>
                <c:pt idx="180">
                  <c:v>584</c:v>
                </c:pt>
                <c:pt idx="181">
                  <c:v>646</c:v>
                </c:pt>
                <c:pt idx="182">
                  <c:v>429</c:v>
                </c:pt>
                <c:pt idx="183">
                  <c:v>171</c:v>
                </c:pt>
                <c:pt idx="184">
                  <c:v>121</c:v>
                </c:pt>
                <c:pt idx="185">
                  <c:v>405</c:v>
                </c:pt>
                <c:pt idx="186">
                  <c:v>270</c:v>
                </c:pt>
                <c:pt idx="187">
                  <c:v>619</c:v>
                </c:pt>
                <c:pt idx="188">
                  <c:v>249</c:v>
                </c:pt>
                <c:pt idx="189">
                  <c:v>362</c:v>
                </c:pt>
                <c:pt idx="190">
                  <c:v>325</c:v>
                </c:pt>
                <c:pt idx="191">
                  <c:v>834</c:v>
                </c:pt>
                <c:pt idx="192">
                  <c:v>184</c:v>
                </c:pt>
                <c:pt idx="193">
                  <c:v>458</c:v>
                </c:pt>
                <c:pt idx="194">
                  <c:v>510</c:v>
                </c:pt>
                <c:pt idx="195">
                  <c:v>788</c:v>
                </c:pt>
                <c:pt idx="196">
                  <c:v>803</c:v>
                </c:pt>
                <c:pt idx="197">
                  <c:v>457</c:v>
                </c:pt>
                <c:pt idx="198">
                  <c:v>574</c:v>
                </c:pt>
                <c:pt idx="199">
                  <c:v>430</c:v>
                </c:pt>
                <c:pt idx="200">
                  <c:v>147</c:v>
                </c:pt>
                <c:pt idx="201">
                  <c:v>845</c:v>
                </c:pt>
                <c:pt idx="202">
                  <c:v>176</c:v>
                </c:pt>
                <c:pt idx="203">
                  <c:v>25</c:v>
                </c:pt>
                <c:pt idx="204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1-4F44-B45B-8F29B5FB2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712648"/>
        <c:axId val="171707944"/>
        <c:extLst>
          <c:ext xmlns:c15="http://schemas.microsoft.com/office/drawing/2012/chart" uri="{02D57815-91ED-43cb-92C2-25804820EDAC}">
            <c15:filteredArea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基データ!$H$1</c15:sqref>
                        </c15:formulaRef>
                      </c:ext>
                    </c:extLst>
                    <c:strCache>
                      <c:ptCount val="1"/>
                      <c:pt idx="0">
                        <c:v>アルコール外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基データ!$A$2:$A$207</c15:sqref>
                        </c15:formulaRef>
                      </c:ext>
                    </c:extLst>
                    <c:numCache>
                      <c:formatCode>m"月"d"日"</c:formatCode>
                      <c:ptCount val="206"/>
                      <c:pt idx="0">
                        <c:v>42485</c:v>
                      </c:pt>
                      <c:pt idx="1">
                        <c:v>42486</c:v>
                      </c:pt>
                      <c:pt idx="2">
                        <c:v>42487</c:v>
                      </c:pt>
                      <c:pt idx="3">
                        <c:v>42488</c:v>
                      </c:pt>
                      <c:pt idx="4">
                        <c:v>42489</c:v>
                      </c:pt>
                      <c:pt idx="5">
                        <c:v>42490</c:v>
                      </c:pt>
                      <c:pt idx="6">
                        <c:v>42491</c:v>
                      </c:pt>
                      <c:pt idx="7">
                        <c:v>42492</c:v>
                      </c:pt>
                      <c:pt idx="8">
                        <c:v>42493</c:v>
                      </c:pt>
                      <c:pt idx="9">
                        <c:v>42494</c:v>
                      </c:pt>
                      <c:pt idx="10">
                        <c:v>42495</c:v>
                      </c:pt>
                      <c:pt idx="11">
                        <c:v>42496</c:v>
                      </c:pt>
                      <c:pt idx="12">
                        <c:v>42497</c:v>
                      </c:pt>
                      <c:pt idx="13">
                        <c:v>42498</c:v>
                      </c:pt>
                      <c:pt idx="14">
                        <c:v>42499</c:v>
                      </c:pt>
                      <c:pt idx="15">
                        <c:v>42500</c:v>
                      </c:pt>
                      <c:pt idx="16">
                        <c:v>42501</c:v>
                      </c:pt>
                      <c:pt idx="17">
                        <c:v>42502</c:v>
                      </c:pt>
                      <c:pt idx="18">
                        <c:v>42503</c:v>
                      </c:pt>
                      <c:pt idx="19">
                        <c:v>42504</c:v>
                      </c:pt>
                      <c:pt idx="20">
                        <c:v>42505</c:v>
                      </c:pt>
                      <c:pt idx="21">
                        <c:v>42506</c:v>
                      </c:pt>
                      <c:pt idx="22">
                        <c:v>42507</c:v>
                      </c:pt>
                      <c:pt idx="23">
                        <c:v>42508</c:v>
                      </c:pt>
                      <c:pt idx="24">
                        <c:v>42509</c:v>
                      </c:pt>
                      <c:pt idx="25">
                        <c:v>42510</c:v>
                      </c:pt>
                      <c:pt idx="26">
                        <c:v>42511</c:v>
                      </c:pt>
                      <c:pt idx="27">
                        <c:v>42512</c:v>
                      </c:pt>
                      <c:pt idx="28">
                        <c:v>42513</c:v>
                      </c:pt>
                      <c:pt idx="29">
                        <c:v>42514</c:v>
                      </c:pt>
                      <c:pt idx="30">
                        <c:v>42515</c:v>
                      </c:pt>
                      <c:pt idx="31">
                        <c:v>42516</c:v>
                      </c:pt>
                      <c:pt idx="32">
                        <c:v>42517</c:v>
                      </c:pt>
                      <c:pt idx="33">
                        <c:v>42518</c:v>
                      </c:pt>
                      <c:pt idx="34">
                        <c:v>42519</c:v>
                      </c:pt>
                      <c:pt idx="35">
                        <c:v>42520</c:v>
                      </c:pt>
                      <c:pt idx="36">
                        <c:v>42521</c:v>
                      </c:pt>
                      <c:pt idx="37">
                        <c:v>42522</c:v>
                      </c:pt>
                      <c:pt idx="38">
                        <c:v>42523</c:v>
                      </c:pt>
                      <c:pt idx="39">
                        <c:v>42524</c:v>
                      </c:pt>
                      <c:pt idx="40">
                        <c:v>42525</c:v>
                      </c:pt>
                      <c:pt idx="41">
                        <c:v>42526</c:v>
                      </c:pt>
                      <c:pt idx="42">
                        <c:v>42527</c:v>
                      </c:pt>
                      <c:pt idx="43">
                        <c:v>42528</c:v>
                      </c:pt>
                      <c:pt idx="44">
                        <c:v>42529</c:v>
                      </c:pt>
                      <c:pt idx="45">
                        <c:v>42530</c:v>
                      </c:pt>
                      <c:pt idx="46">
                        <c:v>42531</c:v>
                      </c:pt>
                      <c:pt idx="47">
                        <c:v>42532</c:v>
                      </c:pt>
                      <c:pt idx="48">
                        <c:v>42533</c:v>
                      </c:pt>
                      <c:pt idx="49">
                        <c:v>42534</c:v>
                      </c:pt>
                      <c:pt idx="50">
                        <c:v>42535</c:v>
                      </c:pt>
                      <c:pt idx="51">
                        <c:v>42536</c:v>
                      </c:pt>
                      <c:pt idx="52">
                        <c:v>42537</c:v>
                      </c:pt>
                      <c:pt idx="53">
                        <c:v>42538</c:v>
                      </c:pt>
                      <c:pt idx="54">
                        <c:v>42539</c:v>
                      </c:pt>
                      <c:pt idx="55">
                        <c:v>42540</c:v>
                      </c:pt>
                      <c:pt idx="56">
                        <c:v>42541</c:v>
                      </c:pt>
                      <c:pt idx="57">
                        <c:v>42542</c:v>
                      </c:pt>
                      <c:pt idx="58">
                        <c:v>42543</c:v>
                      </c:pt>
                      <c:pt idx="59">
                        <c:v>42544</c:v>
                      </c:pt>
                      <c:pt idx="60">
                        <c:v>42545</c:v>
                      </c:pt>
                      <c:pt idx="61">
                        <c:v>42546</c:v>
                      </c:pt>
                      <c:pt idx="62">
                        <c:v>42547</c:v>
                      </c:pt>
                      <c:pt idx="63">
                        <c:v>42548</c:v>
                      </c:pt>
                      <c:pt idx="64">
                        <c:v>42549</c:v>
                      </c:pt>
                      <c:pt idx="65">
                        <c:v>42550</c:v>
                      </c:pt>
                      <c:pt idx="66">
                        <c:v>42551</c:v>
                      </c:pt>
                      <c:pt idx="67">
                        <c:v>42552</c:v>
                      </c:pt>
                      <c:pt idx="68">
                        <c:v>42553</c:v>
                      </c:pt>
                      <c:pt idx="69">
                        <c:v>42554</c:v>
                      </c:pt>
                      <c:pt idx="70">
                        <c:v>42555</c:v>
                      </c:pt>
                      <c:pt idx="71">
                        <c:v>42556</c:v>
                      </c:pt>
                      <c:pt idx="72">
                        <c:v>42557</c:v>
                      </c:pt>
                      <c:pt idx="73">
                        <c:v>42558</c:v>
                      </c:pt>
                      <c:pt idx="74">
                        <c:v>42559</c:v>
                      </c:pt>
                      <c:pt idx="75">
                        <c:v>42560</c:v>
                      </c:pt>
                      <c:pt idx="76">
                        <c:v>42561</c:v>
                      </c:pt>
                      <c:pt idx="77">
                        <c:v>42562</c:v>
                      </c:pt>
                      <c:pt idx="78">
                        <c:v>42563</c:v>
                      </c:pt>
                      <c:pt idx="79">
                        <c:v>42564</c:v>
                      </c:pt>
                      <c:pt idx="80">
                        <c:v>42565</c:v>
                      </c:pt>
                      <c:pt idx="81">
                        <c:v>42566</c:v>
                      </c:pt>
                      <c:pt idx="82">
                        <c:v>42567</c:v>
                      </c:pt>
                      <c:pt idx="83">
                        <c:v>42568</c:v>
                      </c:pt>
                      <c:pt idx="84">
                        <c:v>42569</c:v>
                      </c:pt>
                      <c:pt idx="85">
                        <c:v>42570</c:v>
                      </c:pt>
                      <c:pt idx="86">
                        <c:v>42571</c:v>
                      </c:pt>
                      <c:pt idx="87">
                        <c:v>42572</c:v>
                      </c:pt>
                      <c:pt idx="88">
                        <c:v>42573</c:v>
                      </c:pt>
                      <c:pt idx="89">
                        <c:v>42574</c:v>
                      </c:pt>
                      <c:pt idx="90">
                        <c:v>42575</c:v>
                      </c:pt>
                      <c:pt idx="91">
                        <c:v>42576</c:v>
                      </c:pt>
                      <c:pt idx="92">
                        <c:v>42577</c:v>
                      </c:pt>
                      <c:pt idx="93">
                        <c:v>42578</c:v>
                      </c:pt>
                      <c:pt idx="94">
                        <c:v>42579</c:v>
                      </c:pt>
                      <c:pt idx="95">
                        <c:v>42580</c:v>
                      </c:pt>
                      <c:pt idx="96">
                        <c:v>42581</c:v>
                      </c:pt>
                      <c:pt idx="97">
                        <c:v>42582</c:v>
                      </c:pt>
                      <c:pt idx="98">
                        <c:v>42583</c:v>
                      </c:pt>
                      <c:pt idx="99">
                        <c:v>42584</c:v>
                      </c:pt>
                      <c:pt idx="100">
                        <c:v>42585</c:v>
                      </c:pt>
                      <c:pt idx="101">
                        <c:v>42586</c:v>
                      </c:pt>
                      <c:pt idx="102">
                        <c:v>42587</c:v>
                      </c:pt>
                      <c:pt idx="103">
                        <c:v>42588</c:v>
                      </c:pt>
                      <c:pt idx="104">
                        <c:v>42589</c:v>
                      </c:pt>
                      <c:pt idx="105">
                        <c:v>42590</c:v>
                      </c:pt>
                      <c:pt idx="106">
                        <c:v>42591</c:v>
                      </c:pt>
                      <c:pt idx="107">
                        <c:v>42592</c:v>
                      </c:pt>
                      <c:pt idx="108">
                        <c:v>42593</c:v>
                      </c:pt>
                      <c:pt idx="109">
                        <c:v>42594</c:v>
                      </c:pt>
                      <c:pt idx="110">
                        <c:v>42595</c:v>
                      </c:pt>
                      <c:pt idx="111">
                        <c:v>42596</c:v>
                      </c:pt>
                      <c:pt idx="112">
                        <c:v>42597</c:v>
                      </c:pt>
                      <c:pt idx="113">
                        <c:v>42598</c:v>
                      </c:pt>
                      <c:pt idx="114">
                        <c:v>42599</c:v>
                      </c:pt>
                      <c:pt idx="115">
                        <c:v>42600</c:v>
                      </c:pt>
                      <c:pt idx="116">
                        <c:v>42601</c:v>
                      </c:pt>
                      <c:pt idx="117">
                        <c:v>42602</c:v>
                      </c:pt>
                      <c:pt idx="118">
                        <c:v>42603</c:v>
                      </c:pt>
                      <c:pt idx="119">
                        <c:v>42604</c:v>
                      </c:pt>
                      <c:pt idx="120">
                        <c:v>42605</c:v>
                      </c:pt>
                      <c:pt idx="121">
                        <c:v>42606</c:v>
                      </c:pt>
                      <c:pt idx="122">
                        <c:v>42607</c:v>
                      </c:pt>
                      <c:pt idx="123">
                        <c:v>42608</c:v>
                      </c:pt>
                      <c:pt idx="124">
                        <c:v>42609</c:v>
                      </c:pt>
                      <c:pt idx="125">
                        <c:v>42610</c:v>
                      </c:pt>
                      <c:pt idx="126">
                        <c:v>42611</c:v>
                      </c:pt>
                      <c:pt idx="127">
                        <c:v>42612</c:v>
                      </c:pt>
                      <c:pt idx="128">
                        <c:v>42613</c:v>
                      </c:pt>
                      <c:pt idx="129">
                        <c:v>42614</c:v>
                      </c:pt>
                      <c:pt idx="130">
                        <c:v>42615</c:v>
                      </c:pt>
                      <c:pt idx="131">
                        <c:v>42616</c:v>
                      </c:pt>
                      <c:pt idx="132">
                        <c:v>42617</c:v>
                      </c:pt>
                      <c:pt idx="133">
                        <c:v>42618</c:v>
                      </c:pt>
                      <c:pt idx="134">
                        <c:v>42619</c:v>
                      </c:pt>
                      <c:pt idx="135">
                        <c:v>42620</c:v>
                      </c:pt>
                      <c:pt idx="136">
                        <c:v>42621</c:v>
                      </c:pt>
                      <c:pt idx="137">
                        <c:v>42622</c:v>
                      </c:pt>
                      <c:pt idx="138">
                        <c:v>42623</c:v>
                      </c:pt>
                      <c:pt idx="139">
                        <c:v>42624</c:v>
                      </c:pt>
                      <c:pt idx="140">
                        <c:v>42625</c:v>
                      </c:pt>
                      <c:pt idx="141">
                        <c:v>42626</c:v>
                      </c:pt>
                      <c:pt idx="142">
                        <c:v>42627</c:v>
                      </c:pt>
                      <c:pt idx="143">
                        <c:v>42628</c:v>
                      </c:pt>
                      <c:pt idx="144">
                        <c:v>42629</c:v>
                      </c:pt>
                      <c:pt idx="145">
                        <c:v>42630</c:v>
                      </c:pt>
                      <c:pt idx="146">
                        <c:v>42631</c:v>
                      </c:pt>
                      <c:pt idx="147">
                        <c:v>42632</c:v>
                      </c:pt>
                      <c:pt idx="148">
                        <c:v>42633</c:v>
                      </c:pt>
                      <c:pt idx="149">
                        <c:v>42634</c:v>
                      </c:pt>
                      <c:pt idx="150">
                        <c:v>42635</c:v>
                      </c:pt>
                      <c:pt idx="151">
                        <c:v>42636</c:v>
                      </c:pt>
                      <c:pt idx="152">
                        <c:v>42637</c:v>
                      </c:pt>
                      <c:pt idx="153">
                        <c:v>42638</c:v>
                      </c:pt>
                      <c:pt idx="154">
                        <c:v>42639</c:v>
                      </c:pt>
                      <c:pt idx="155">
                        <c:v>42640</c:v>
                      </c:pt>
                      <c:pt idx="156">
                        <c:v>42641</c:v>
                      </c:pt>
                      <c:pt idx="157">
                        <c:v>42642</c:v>
                      </c:pt>
                      <c:pt idx="158">
                        <c:v>42643</c:v>
                      </c:pt>
                      <c:pt idx="159">
                        <c:v>42644</c:v>
                      </c:pt>
                      <c:pt idx="160">
                        <c:v>42645</c:v>
                      </c:pt>
                      <c:pt idx="161">
                        <c:v>42646</c:v>
                      </c:pt>
                      <c:pt idx="162">
                        <c:v>42647</c:v>
                      </c:pt>
                      <c:pt idx="163">
                        <c:v>42648</c:v>
                      </c:pt>
                      <c:pt idx="164">
                        <c:v>42649</c:v>
                      </c:pt>
                      <c:pt idx="165">
                        <c:v>42650</c:v>
                      </c:pt>
                      <c:pt idx="166">
                        <c:v>42651</c:v>
                      </c:pt>
                      <c:pt idx="167">
                        <c:v>42652</c:v>
                      </c:pt>
                      <c:pt idx="168">
                        <c:v>42653</c:v>
                      </c:pt>
                      <c:pt idx="169">
                        <c:v>42654</c:v>
                      </c:pt>
                      <c:pt idx="170">
                        <c:v>42655</c:v>
                      </c:pt>
                      <c:pt idx="171">
                        <c:v>42656</c:v>
                      </c:pt>
                      <c:pt idx="172">
                        <c:v>42657</c:v>
                      </c:pt>
                      <c:pt idx="173">
                        <c:v>42658</c:v>
                      </c:pt>
                      <c:pt idx="174">
                        <c:v>42659</c:v>
                      </c:pt>
                      <c:pt idx="175">
                        <c:v>42660</c:v>
                      </c:pt>
                      <c:pt idx="176">
                        <c:v>42661</c:v>
                      </c:pt>
                      <c:pt idx="177">
                        <c:v>42662</c:v>
                      </c:pt>
                      <c:pt idx="178">
                        <c:v>42663</c:v>
                      </c:pt>
                      <c:pt idx="179">
                        <c:v>42664</c:v>
                      </c:pt>
                      <c:pt idx="180">
                        <c:v>42665</c:v>
                      </c:pt>
                      <c:pt idx="181">
                        <c:v>42666</c:v>
                      </c:pt>
                      <c:pt idx="182">
                        <c:v>42667</c:v>
                      </c:pt>
                      <c:pt idx="183">
                        <c:v>42668</c:v>
                      </c:pt>
                      <c:pt idx="184">
                        <c:v>42669</c:v>
                      </c:pt>
                      <c:pt idx="185">
                        <c:v>42670</c:v>
                      </c:pt>
                      <c:pt idx="186">
                        <c:v>42671</c:v>
                      </c:pt>
                      <c:pt idx="187">
                        <c:v>42672</c:v>
                      </c:pt>
                      <c:pt idx="188">
                        <c:v>42673</c:v>
                      </c:pt>
                      <c:pt idx="189">
                        <c:v>42674</c:v>
                      </c:pt>
                      <c:pt idx="190">
                        <c:v>42675</c:v>
                      </c:pt>
                      <c:pt idx="191">
                        <c:v>42676</c:v>
                      </c:pt>
                      <c:pt idx="192">
                        <c:v>42677</c:v>
                      </c:pt>
                      <c:pt idx="193">
                        <c:v>42678</c:v>
                      </c:pt>
                      <c:pt idx="194">
                        <c:v>42679</c:v>
                      </c:pt>
                      <c:pt idx="195">
                        <c:v>42680</c:v>
                      </c:pt>
                      <c:pt idx="196">
                        <c:v>42681</c:v>
                      </c:pt>
                      <c:pt idx="197">
                        <c:v>42682</c:v>
                      </c:pt>
                      <c:pt idx="198">
                        <c:v>42683</c:v>
                      </c:pt>
                      <c:pt idx="199">
                        <c:v>42684</c:v>
                      </c:pt>
                      <c:pt idx="200">
                        <c:v>42685</c:v>
                      </c:pt>
                      <c:pt idx="201">
                        <c:v>42686</c:v>
                      </c:pt>
                      <c:pt idx="202">
                        <c:v>42687</c:v>
                      </c:pt>
                      <c:pt idx="203">
                        <c:v>42688</c:v>
                      </c:pt>
                      <c:pt idx="204">
                        <c:v>42689</c:v>
                      </c:pt>
                      <c:pt idx="205">
                        <c:v>42690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基データ!$H$2:$H$207</c15:sqref>
                        </c15:formulaRef>
                      </c:ext>
                    </c:extLst>
                    <c:numCache>
                      <c:formatCode>General</c:formatCode>
                      <c:ptCount val="206"/>
                      <c:pt idx="0">
                        <c:v>982</c:v>
                      </c:pt>
                      <c:pt idx="1">
                        <c:v>2152</c:v>
                      </c:pt>
                      <c:pt idx="2">
                        <c:v>776</c:v>
                      </c:pt>
                      <c:pt idx="3">
                        <c:v>1436</c:v>
                      </c:pt>
                      <c:pt idx="4">
                        <c:v>958</c:v>
                      </c:pt>
                      <c:pt idx="5">
                        <c:v>1303</c:v>
                      </c:pt>
                      <c:pt idx="6">
                        <c:v>2484</c:v>
                      </c:pt>
                      <c:pt idx="7">
                        <c:v>1192</c:v>
                      </c:pt>
                      <c:pt idx="8">
                        <c:v>1509</c:v>
                      </c:pt>
                      <c:pt idx="9">
                        <c:v>1533</c:v>
                      </c:pt>
                      <c:pt idx="10">
                        <c:v>1664</c:v>
                      </c:pt>
                      <c:pt idx="11">
                        <c:v>1113</c:v>
                      </c:pt>
                      <c:pt idx="12">
                        <c:v>742</c:v>
                      </c:pt>
                      <c:pt idx="13">
                        <c:v>1044</c:v>
                      </c:pt>
                      <c:pt idx="14">
                        <c:v>2254</c:v>
                      </c:pt>
                      <c:pt idx="15">
                        <c:v>2093</c:v>
                      </c:pt>
                      <c:pt idx="16">
                        <c:v>1210</c:v>
                      </c:pt>
                      <c:pt idx="17">
                        <c:v>1654</c:v>
                      </c:pt>
                      <c:pt idx="18">
                        <c:v>1573</c:v>
                      </c:pt>
                      <c:pt idx="19">
                        <c:v>2637</c:v>
                      </c:pt>
                      <c:pt idx="20">
                        <c:v>1622</c:v>
                      </c:pt>
                      <c:pt idx="21">
                        <c:v>2582</c:v>
                      </c:pt>
                      <c:pt idx="22">
                        <c:v>2538</c:v>
                      </c:pt>
                      <c:pt idx="23">
                        <c:v>674</c:v>
                      </c:pt>
                      <c:pt idx="24">
                        <c:v>1175</c:v>
                      </c:pt>
                      <c:pt idx="25">
                        <c:v>1217</c:v>
                      </c:pt>
                      <c:pt idx="26">
                        <c:v>1157</c:v>
                      </c:pt>
                      <c:pt idx="27">
                        <c:v>1168</c:v>
                      </c:pt>
                      <c:pt idx="28">
                        <c:v>1695</c:v>
                      </c:pt>
                      <c:pt idx="29">
                        <c:v>1141</c:v>
                      </c:pt>
                      <c:pt idx="30">
                        <c:v>1659</c:v>
                      </c:pt>
                      <c:pt idx="31">
                        <c:v>1439</c:v>
                      </c:pt>
                      <c:pt idx="32">
                        <c:v>1529</c:v>
                      </c:pt>
                      <c:pt idx="33">
                        <c:v>1792</c:v>
                      </c:pt>
                      <c:pt idx="34">
                        <c:v>1075</c:v>
                      </c:pt>
                      <c:pt idx="35">
                        <c:v>1450</c:v>
                      </c:pt>
                      <c:pt idx="36">
                        <c:v>2112</c:v>
                      </c:pt>
                      <c:pt idx="37">
                        <c:v>1498</c:v>
                      </c:pt>
                      <c:pt idx="38">
                        <c:v>984</c:v>
                      </c:pt>
                      <c:pt idx="39">
                        <c:v>1821</c:v>
                      </c:pt>
                      <c:pt idx="40">
                        <c:v>1824</c:v>
                      </c:pt>
                      <c:pt idx="41">
                        <c:v>1946</c:v>
                      </c:pt>
                      <c:pt idx="42">
                        <c:v>2311</c:v>
                      </c:pt>
                      <c:pt idx="43">
                        <c:v>1870</c:v>
                      </c:pt>
                      <c:pt idx="44">
                        <c:v>1703</c:v>
                      </c:pt>
                      <c:pt idx="45">
                        <c:v>1735</c:v>
                      </c:pt>
                      <c:pt idx="46">
                        <c:v>1587</c:v>
                      </c:pt>
                      <c:pt idx="47">
                        <c:v>1745</c:v>
                      </c:pt>
                      <c:pt idx="48">
                        <c:v>1753</c:v>
                      </c:pt>
                      <c:pt idx="49">
                        <c:v>1985</c:v>
                      </c:pt>
                      <c:pt idx="50">
                        <c:v>1951</c:v>
                      </c:pt>
                      <c:pt idx="51">
                        <c:v>1359</c:v>
                      </c:pt>
                      <c:pt idx="52">
                        <c:v>1814</c:v>
                      </c:pt>
                      <c:pt idx="53">
                        <c:v>1416</c:v>
                      </c:pt>
                      <c:pt idx="54">
                        <c:v>1551</c:v>
                      </c:pt>
                      <c:pt idx="55">
                        <c:v>1783</c:v>
                      </c:pt>
                      <c:pt idx="56">
                        <c:v>1749</c:v>
                      </c:pt>
                      <c:pt idx="57">
                        <c:v>1851</c:v>
                      </c:pt>
                      <c:pt idx="58">
                        <c:v>1836</c:v>
                      </c:pt>
                      <c:pt idx="59">
                        <c:v>1705</c:v>
                      </c:pt>
                      <c:pt idx="60">
                        <c:v>1577</c:v>
                      </c:pt>
                      <c:pt idx="61">
                        <c:v>1470</c:v>
                      </c:pt>
                      <c:pt idx="62">
                        <c:v>1303</c:v>
                      </c:pt>
                      <c:pt idx="63">
                        <c:v>1678</c:v>
                      </c:pt>
                      <c:pt idx="64">
                        <c:v>1805</c:v>
                      </c:pt>
                      <c:pt idx="65">
                        <c:v>1653</c:v>
                      </c:pt>
                      <c:pt idx="66">
                        <c:v>1870</c:v>
                      </c:pt>
                      <c:pt idx="67">
                        <c:v>1763</c:v>
                      </c:pt>
                      <c:pt idx="68">
                        <c:v>1115</c:v>
                      </c:pt>
                      <c:pt idx="69">
                        <c:v>1523</c:v>
                      </c:pt>
                      <c:pt idx="70">
                        <c:v>1912</c:v>
                      </c:pt>
                      <c:pt idx="71">
                        <c:v>1600</c:v>
                      </c:pt>
                      <c:pt idx="72">
                        <c:v>1559</c:v>
                      </c:pt>
                      <c:pt idx="73">
                        <c:v>1608</c:v>
                      </c:pt>
                      <c:pt idx="74">
                        <c:v>2961</c:v>
                      </c:pt>
                      <c:pt idx="75">
                        <c:v>1479</c:v>
                      </c:pt>
                      <c:pt idx="76">
                        <c:v>2142</c:v>
                      </c:pt>
                      <c:pt idx="77">
                        <c:v>1611</c:v>
                      </c:pt>
                      <c:pt idx="78">
                        <c:v>1649</c:v>
                      </c:pt>
                      <c:pt idx="79">
                        <c:v>1819</c:v>
                      </c:pt>
                      <c:pt idx="80">
                        <c:v>1893</c:v>
                      </c:pt>
                      <c:pt idx="81">
                        <c:v>1943</c:v>
                      </c:pt>
                      <c:pt idx="82">
                        <c:v>1624</c:v>
                      </c:pt>
                      <c:pt idx="83">
                        <c:v>1896</c:v>
                      </c:pt>
                      <c:pt idx="84">
                        <c:v>1465</c:v>
                      </c:pt>
                      <c:pt idx="85">
                        <c:v>1763</c:v>
                      </c:pt>
                      <c:pt idx="86">
                        <c:v>1073</c:v>
                      </c:pt>
                      <c:pt idx="87">
                        <c:v>1692</c:v>
                      </c:pt>
                      <c:pt idx="88">
                        <c:v>1800</c:v>
                      </c:pt>
                      <c:pt idx="89">
                        <c:v>1517</c:v>
                      </c:pt>
                      <c:pt idx="90">
                        <c:v>1366</c:v>
                      </c:pt>
                      <c:pt idx="91">
                        <c:v>1814</c:v>
                      </c:pt>
                      <c:pt idx="92">
                        <c:v>1749</c:v>
                      </c:pt>
                      <c:pt idx="93">
                        <c:v>1823</c:v>
                      </c:pt>
                      <c:pt idx="94">
                        <c:v>1647</c:v>
                      </c:pt>
                      <c:pt idx="95">
                        <c:v>1862</c:v>
                      </c:pt>
                      <c:pt idx="96">
                        <c:v>1624</c:v>
                      </c:pt>
                      <c:pt idx="97">
                        <c:v>1711</c:v>
                      </c:pt>
                      <c:pt idx="98">
                        <c:v>1494</c:v>
                      </c:pt>
                      <c:pt idx="99">
                        <c:v>1884</c:v>
                      </c:pt>
                      <c:pt idx="100">
                        <c:v>1725</c:v>
                      </c:pt>
                      <c:pt idx="101">
                        <c:v>2066</c:v>
                      </c:pt>
                      <c:pt idx="102">
                        <c:v>1886</c:v>
                      </c:pt>
                      <c:pt idx="103">
                        <c:v>1458</c:v>
                      </c:pt>
                      <c:pt idx="104">
                        <c:v>1460</c:v>
                      </c:pt>
                      <c:pt idx="105">
                        <c:v>1950</c:v>
                      </c:pt>
                      <c:pt idx="106">
                        <c:v>1550</c:v>
                      </c:pt>
                      <c:pt idx="107">
                        <c:v>1544</c:v>
                      </c:pt>
                      <c:pt idx="108">
                        <c:v>2023</c:v>
                      </c:pt>
                      <c:pt idx="109">
                        <c:v>1827</c:v>
                      </c:pt>
                      <c:pt idx="110">
                        <c:v>1712</c:v>
                      </c:pt>
                      <c:pt idx="111">
                        <c:v>1824</c:v>
                      </c:pt>
                      <c:pt idx="112">
                        <c:v>1489</c:v>
                      </c:pt>
                      <c:pt idx="113">
                        <c:v>1660</c:v>
                      </c:pt>
                      <c:pt idx="114">
                        <c:v>3042</c:v>
                      </c:pt>
                      <c:pt idx="115">
                        <c:v>1593</c:v>
                      </c:pt>
                      <c:pt idx="116">
                        <c:v>1853</c:v>
                      </c:pt>
                      <c:pt idx="117">
                        <c:v>1308</c:v>
                      </c:pt>
                      <c:pt idx="118">
                        <c:v>1333</c:v>
                      </c:pt>
                      <c:pt idx="119">
                        <c:v>1487</c:v>
                      </c:pt>
                      <c:pt idx="120">
                        <c:v>1527</c:v>
                      </c:pt>
                      <c:pt idx="121">
                        <c:v>1513</c:v>
                      </c:pt>
                      <c:pt idx="122">
                        <c:v>1760</c:v>
                      </c:pt>
                      <c:pt idx="123">
                        <c:v>1582</c:v>
                      </c:pt>
                      <c:pt idx="124">
                        <c:v>1397</c:v>
                      </c:pt>
                      <c:pt idx="125">
                        <c:v>1495</c:v>
                      </c:pt>
                      <c:pt idx="126">
                        <c:v>1725</c:v>
                      </c:pt>
                      <c:pt idx="127">
                        <c:v>1782</c:v>
                      </c:pt>
                      <c:pt idx="128">
                        <c:v>1512</c:v>
                      </c:pt>
                      <c:pt idx="129">
                        <c:v>1905</c:v>
                      </c:pt>
                      <c:pt idx="130">
                        <c:v>1886</c:v>
                      </c:pt>
                      <c:pt idx="131">
                        <c:v>1736</c:v>
                      </c:pt>
                      <c:pt idx="132">
                        <c:v>1988</c:v>
                      </c:pt>
                      <c:pt idx="133">
                        <c:v>1809</c:v>
                      </c:pt>
                      <c:pt idx="134">
                        <c:v>2096</c:v>
                      </c:pt>
                      <c:pt idx="135">
                        <c:v>1395</c:v>
                      </c:pt>
                      <c:pt idx="136">
                        <c:v>1514</c:v>
                      </c:pt>
                      <c:pt idx="137">
                        <c:v>1455</c:v>
                      </c:pt>
                      <c:pt idx="138">
                        <c:v>1867</c:v>
                      </c:pt>
                      <c:pt idx="139">
                        <c:v>1302</c:v>
                      </c:pt>
                      <c:pt idx="140">
                        <c:v>1427</c:v>
                      </c:pt>
                      <c:pt idx="141">
                        <c:v>1299</c:v>
                      </c:pt>
                      <c:pt idx="142">
                        <c:v>1611</c:v>
                      </c:pt>
                      <c:pt idx="143">
                        <c:v>1803</c:v>
                      </c:pt>
                      <c:pt idx="144">
                        <c:v>1258</c:v>
                      </c:pt>
                      <c:pt idx="145">
                        <c:v>1530</c:v>
                      </c:pt>
                      <c:pt idx="146">
                        <c:v>1722</c:v>
                      </c:pt>
                      <c:pt idx="147">
                        <c:v>2008</c:v>
                      </c:pt>
                      <c:pt idx="148">
                        <c:v>2042</c:v>
                      </c:pt>
                      <c:pt idx="149">
                        <c:v>1658</c:v>
                      </c:pt>
                      <c:pt idx="150">
                        <c:v>1815</c:v>
                      </c:pt>
                      <c:pt idx="151">
                        <c:v>1783</c:v>
                      </c:pt>
                      <c:pt idx="152">
                        <c:v>2383</c:v>
                      </c:pt>
                      <c:pt idx="153">
                        <c:v>1889</c:v>
                      </c:pt>
                      <c:pt idx="154">
                        <c:v>2054</c:v>
                      </c:pt>
                      <c:pt idx="155">
                        <c:v>1697</c:v>
                      </c:pt>
                      <c:pt idx="156">
                        <c:v>1696</c:v>
                      </c:pt>
                      <c:pt idx="157">
                        <c:v>1906</c:v>
                      </c:pt>
                      <c:pt idx="158">
                        <c:v>2109</c:v>
                      </c:pt>
                      <c:pt idx="159">
                        <c:v>1218</c:v>
                      </c:pt>
                      <c:pt idx="160">
                        <c:v>1573</c:v>
                      </c:pt>
                      <c:pt idx="161">
                        <c:v>2391</c:v>
                      </c:pt>
                      <c:pt idx="162">
                        <c:v>2365</c:v>
                      </c:pt>
                      <c:pt idx="163">
                        <c:v>2131</c:v>
                      </c:pt>
                      <c:pt idx="164">
                        <c:v>1490</c:v>
                      </c:pt>
                      <c:pt idx="165">
                        <c:v>1976</c:v>
                      </c:pt>
                      <c:pt idx="166">
                        <c:v>1187</c:v>
                      </c:pt>
                      <c:pt idx="167">
                        <c:v>1599</c:v>
                      </c:pt>
                      <c:pt idx="168">
                        <c:v>1682</c:v>
                      </c:pt>
                      <c:pt idx="169">
                        <c:v>1805</c:v>
                      </c:pt>
                      <c:pt idx="170">
                        <c:v>1489</c:v>
                      </c:pt>
                      <c:pt idx="171">
                        <c:v>1615</c:v>
                      </c:pt>
                      <c:pt idx="172">
                        <c:v>1651</c:v>
                      </c:pt>
                      <c:pt idx="173">
                        <c:v>1519</c:v>
                      </c:pt>
                      <c:pt idx="174">
                        <c:v>1558</c:v>
                      </c:pt>
                      <c:pt idx="175">
                        <c:v>1657</c:v>
                      </c:pt>
                      <c:pt idx="176">
                        <c:v>1852</c:v>
                      </c:pt>
                      <c:pt idx="177">
                        <c:v>1545</c:v>
                      </c:pt>
                      <c:pt idx="178">
                        <c:v>2086</c:v>
                      </c:pt>
                      <c:pt idx="179">
                        <c:v>2300</c:v>
                      </c:pt>
                      <c:pt idx="180">
                        <c:v>1570</c:v>
                      </c:pt>
                      <c:pt idx="181">
                        <c:v>2452</c:v>
                      </c:pt>
                      <c:pt idx="182">
                        <c:v>1868</c:v>
                      </c:pt>
                      <c:pt idx="183">
                        <c:v>2127</c:v>
                      </c:pt>
                      <c:pt idx="184">
                        <c:v>2053</c:v>
                      </c:pt>
                      <c:pt idx="185">
                        <c:v>1801</c:v>
                      </c:pt>
                      <c:pt idx="186">
                        <c:v>1654</c:v>
                      </c:pt>
                      <c:pt idx="187">
                        <c:v>1433</c:v>
                      </c:pt>
                      <c:pt idx="188">
                        <c:v>2043</c:v>
                      </c:pt>
                      <c:pt idx="189">
                        <c:v>1706</c:v>
                      </c:pt>
                      <c:pt idx="190">
                        <c:v>2101</c:v>
                      </c:pt>
                      <c:pt idx="191">
                        <c:v>1638</c:v>
                      </c:pt>
                      <c:pt idx="192">
                        <c:v>1302</c:v>
                      </c:pt>
                      <c:pt idx="193">
                        <c:v>2257</c:v>
                      </c:pt>
                      <c:pt idx="194">
                        <c:v>1310</c:v>
                      </c:pt>
                      <c:pt idx="195">
                        <c:v>1744</c:v>
                      </c:pt>
                      <c:pt idx="196">
                        <c:v>2101</c:v>
                      </c:pt>
                      <c:pt idx="197">
                        <c:v>1861</c:v>
                      </c:pt>
                      <c:pt idx="198">
                        <c:v>2015</c:v>
                      </c:pt>
                      <c:pt idx="199">
                        <c:v>1964</c:v>
                      </c:pt>
                      <c:pt idx="200">
                        <c:v>1368</c:v>
                      </c:pt>
                      <c:pt idx="201">
                        <c:v>1160</c:v>
                      </c:pt>
                      <c:pt idx="202">
                        <c:v>1731</c:v>
                      </c:pt>
                      <c:pt idx="203">
                        <c:v>1717</c:v>
                      </c:pt>
                      <c:pt idx="204">
                        <c:v>2186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51B-4D83-A58C-6B760CC7CB22}"/>
                  </c:ext>
                </c:extLst>
              </c15:ser>
            </c15:filteredAreaSeries>
          </c:ext>
        </c:extLst>
      </c:areaChart>
      <c:barChart>
        <c:barDir val="col"/>
        <c:grouping val="clustered"/>
        <c:varyColors val="0"/>
        <c:ser>
          <c:idx val="10"/>
          <c:order val="10"/>
          <c:tx>
            <c:strRef>
              <c:f>基データ!$L$1</c:f>
              <c:strCache>
                <c:ptCount val="1"/>
                <c:pt idx="0">
                  <c:v>飲酒時Alc外摂取カロリー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基データ!$L$2:$L$207</c:f>
              <c:numCache>
                <c:formatCode>General</c:formatCode>
                <c:ptCount val="206"/>
                <c:pt idx="0">
                  <c:v>230</c:v>
                </c:pt>
                <c:pt idx="1">
                  <c:v>968</c:v>
                </c:pt>
                <c:pt idx="2">
                  <c:v>470</c:v>
                </c:pt>
                <c:pt idx="3">
                  <c:v>417</c:v>
                </c:pt>
                <c:pt idx="4">
                  <c:v>728</c:v>
                </c:pt>
                <c:pt idx="5">
                  <c:v>814</c:v>
                </c:pt>
                <c:pt idx="6">
                  <c:v>899</c:v>
                </c:pt>
                <c:pt idx="7">
                  <c:v>453</c:v>
                </c:pt>
                <c:pt idx="8">
                  <c:v>1351</c:v>
                </c:pt>
                <c:pt idx="9">
                  <c:v>652</c:v>
                </c:pt>
                <c:pt idx="10">
                  <c:v>847</c:v>
                </c:pt>
                <c:pt idx="11">
                  <c:v>899</c:v>
                </c:pt>
                <c:pt idx="12">
                  <c:v>746</c:v>
                </c:pt>
                <c:pt idx="13">
                  <c:v>763</c:v>
                </c:pt>
                <c:pt idx="14">
                  <c:v>1135</c:v>
                </c:pt>
                <c:pt idx="15">
                  <c:v>0</c:v>
                </c:pt>
                <c:pt idx="16">
                  <c:v>594</c:v>
                </c:pt>
                <c:pt idx="17">
                  <c:v>539</c:v>
                </c:pt>
                <c:pt idx="18">
                  <c:v>1050</c:v>
                </c:pt>
                <c:pt idx="19">
                  <c:v>2067</c:v>
                </c:pt>
                <c:pt idx="20">
                  <c:v>1210</c:v>
                </c:pt>
                <c:pt idx="21">
                  <c:v>426</c:v>
                </c:pt>
                <c:pt idx="22">
                  <c:v>1904</c:v>
                </c:pt>
                <c:pt idx="23">
                  <c:v>522</c:v>
                </c:pt>
                <c:pt idx="24">
                  <c:v>200</c:v>
                </c:pt>
                <c:pt idx="25">
                  <c:v>822</c:v>
                </c:pt>
                <c:pt idx="26">
                  <c:v>662</c:v>
                </c:pt>
                <c:pt idx="27">
                  <c:v>814</c:v>
                </c:pt>
                <c:pt idx="28">
                  <c:v>1102</c:v>
                </c:pt>
                <c:pt idx="29">
                  <c:v>702</c:v>
                </c:pt>
                <c:pt idx="30">
                  <c:v>555</c:v>
                </c:pt>
                <c:pt idx="31">
                  <c:v>593</c:v>
                </c:pt>
                <c:pt idx="32">
                  <c:v>1045</c:v>
                </c:pt>
                <c:pt idx="33">
                  <c:v>756</c:v>
                </c:pt>
                <c:pt idx="34">
                  <c:v>308</c:v>
                </c:pt>
                <c:pt idx="35">
                  <c:v>587</c:v>
                </c:pt>
                <c:pt idx="36">
                  <c:v>935</c:v>
                </c:pt>
                <c:pt idx="37">
                  <c:v>615</c:v>
                </c:pt>
                <c:pt idx="38">
                  <c:v>411</c:v>
                </c:pt>
                <c:pt idx="39">
                  <c:v>771</c:v>
                </c:pt>
                <c:pt idx="40">
                  <c:v>838</c:v>
                </c:pt>
                <c:pt idx="41">
                  <c:v>1018</c:v>
                </c:pt>
                <c:pt idx="42">
                  <c:v>1128</c:v>
                </c:pt>
                <c:pt idx="43">
                  <c:v>0</c:v>
                </c:pt>
                <c:pt idx="44">
                  <c:v>543</c:v>
                </c:pt>
                <c:pt idx="45">
                  <c:v>0</c:v>
                </c:pt>
                <c:pt idx="46">
                  <c:v>1117</c:v>
                </c:pt>
                <c:pt idx="47">
                  <c:v>453</c:v>
                </c:pt>
                <c:pt idx="48">
                  <c:v>1016</c:v>
                </c:pt>
                <c:pt idx="49">
                  <c:v>393</c:v>
                </c:pt>
                <c:pt idx="50">
                  <c:v>654</c:v>
                </c:pt>
                <c:pt idx="51">
                  <c:v>53</c:v>
                </c:pt>
                <c:pt idx="52">
                  <c:v>317</c:v>
                </c:pt>
                <c:pt idx="53">
                  <c:v>438</c:v>
                </c:pt>
                <c:pt idx="54">
                  <c:v>797</c:v>
                </c:pt>
                <c:pt idx="55">
                  <c:v>487</c:v>
                </c:pt>
                <c:pt idx="56">
                  <c:v>518</c:v>
                </c:pt>
                <c:pt idx="57">
                  <c:v>676</c:v>
                </c:pt>
                <c:pt idx="58">
                  <c:v>682</c:v>
                </c:pt>
                <c:pt idx="59">
                  <c:v>531</c:v>
                </c:pt>
                <c:pt idx="60">
                  <c:v>398</c:v>
                </c:pt>
                <c:pt idx="61">
                  <c:v>594</c:v>
                </c:pt>
                <c:pt idx="62">
                  <c:v>502</c:v>
                </c:pt>
                <c:pt idx="63">
                  <c:v>416</c:v>
                </c:pt>
                <c:pt idx="64">
                  <c:v>175</c:v>
                </c:pt>
                <c:pt idx="65">
                  <c:v>565</c:v>
                </c:pt>
                <c:pt idx="66">
                  <c:v>543</c:v>
                </c:pt>
                <c:pt idx="67">
                  <c:v>711</c:v>
                </c:pt>
                <c:pt idx="68">
                  <c:v>889</c:v>
                </c:pt>
                <c:pt idx="69">
                  <c:v>624</c:v>
                </c:pt>
                <c:pt idx="70">
                  <c:v>573</c:v>
                </c:pt>
                <c:pt idx="71">
                  <c:v>702</c:v>
                </c:pt>
                <c:pt idx="72">
                  <c:v>491</c:v>
                </c:pt>
                <c:pt idx="73">
                  <c:v>377</c:v>
                </c:pt>
                <c:pt idx="74">
                  <c:v>1708</c:v>
                </c:pt>
                <c:pt idx="75">
                  <c:v>792</c:v>
                </c:pt>
                <c:pt idx="76">
                  <c:v>1029</c:v>
                </c:pt>
                <c:pt idx="77">
                  <c:v>665</c:v>
                </c:pt>
                <c:pt idx="78">
                  <c:v>786</c:v>
                </c:pt>
                <c:pt idx="79">
                  <c:v>628</c:v>
                </c:pt>
                <c:pt idx="80">
                  <c:v>606</c:v>
                </c:pt>
                <c:pt idx="81">
                  <c:v>824</c:v>
                </c:pt>
                <c:pt idx="82">
                  <c:v>842</c:v>
                </c:pt>
                <c:pt idx="83">
                  <c:v>672</c:v>
                </c:pt>
                <c:pt idx="84">
                  <c:v>531</c:v>
                </c:pt>
                <c:pt idx="85">
                  <c:v>516</c:v>
                </c:pt>
                <c:pt idx="86">
                  <c:v>396</c:v>
                </c:pt>
                <c:pt idx="87">
                  <c:v>772</c:v>
                </c:pt>
                <c:pt idx="88">
                  <c:v>581</c:v>
                </c:pt>
                <c:pt idx="89">
                  <c:v>1004</c:v>
                </c:pt>
                <c:pt idx="90">
                  <c:v>338</c:v>
                </c:pt>
                <c:pt idx="91">
                  <c:v>619</c:v>
                </c:pt>
                <c:pt idx="92">
                  <c:v>457</c:v>
                </c:pt>
                <c:pt idx="93">
                  <c:v>656</c:v>
                </c:pt>
                <c:pt idx="94">
                  <c:v>615</c:v>
                </c:pt>
                <c:pt idx="95">
                  <c:v>1015</c:v>
                </c:pt>
                <c:pt idx="96">
                  <c:v>866</c:v>
                </c:pt>
                <c:pt idx="97">
                  <c:v>0</c:v>
                </c:pt>
                <c:pt idx="98">
                  <c:v>341</c:v>
                </c:pt>
                <c:pt idx="99">
                  <c:v>747</c:v>
                </c:pt>
                <c:pt idx="100">
                  <c:v>553</c:v>
                </c:pt>
                <c:pt idx="101">
                  <c:v>1092</c:v>
                </c:pt>
                <c:pt idx="102">
                  <c:v>759</c:v>
                </c:pt>
                <c:pt idx="103">
                  <c:v>717</c:v>
                </c:pt>
                <c:pt idx="104">
                  <c:v>795</c:v>
                </c:pt>
                <c:pt idx="105">
                  <c:v>681</c:v>
                </c:pt>
                <c:pt idx="106">
                  <c:v>565</c:v>
                </c:pt>
                <c:pt idx="107">
                  <c:v>366</c:v>
                </c:pt>
                <c:pt idx="108">
                  <c:v>660</c:v>
                </c:pt>
                <c:pt idx="109">
                  <c:v>518</c:v>
                </c:pt>
                <c:pt idx="110">
                  <c:v>658</c:v>
                </c:pt>
                <c:pt idx="111">
                  <c:v>1168</c:v>
                </c:pt>
                <c:pt idx="112">
                  <c:v>404</c:v>
                </c:pt>
                <c:pt idx="113">
                  <c:v>376</c:v>
                </c:pt>
                <c:pt idx="114">
                  <c:v>1374</c:v>
                </c:pt>
                <c:pt idx="115">
                  <c:v>946</c:v>
                </c:pt>
                <c:pt idx="116">
                  <c:v>167</c:v>
                </c:pt>
                <c:pt idx="117">
                  <c:v>628</c:v>
                </c:pt>
                <c:pt idx="118">
                  <c:v>552</c:v>
                </c:pt>
                <c:pt idx="119">
                  <c:v>594</c:v>
                </c:pt>
                <c:pt idx="120">
                  <c:v>655</c:v>
                </c:pt>
                <c:pt idx="121">
                  <c:v>448</c:v>
                </c:pt>
                <c:pt idx="122">
                  <c:v>295</c:v>
                </c:pt>
                <c:pt idx="123">
                  <c:v>607</c:v>
                </c:pt>
                <c:pt idx="124">
                  <c:v>915</c:v>
                </c:pt>
                <c:pt idx="125">
                  <c:v>639</c:v>
                </c:pt>
                <c:pt idx="126">
                  <c:v>838</c:v>
                </c:pt>
                <c:pt idx="127">
                  <c:v>1089</c:v>
                </c:pt>
                <c:pt idx="128">
                  <c:v>637</c:v>
                </c:pt>
                <c:pt idx="129">
                  <c:v>680</c:v>
                </c:pt>
                <c:pt idx="130">
                  <c:v>867</c:v>
                </c:pt>
                <c:pt idx="131">
                  <c:v>1083</c:v>
                </c:pt>
                <c:pt idx="132">
                  <c:v>459</c:v>
                </c:pt>
                <c:pt idx="133">
                  <c:v>629</c:v>
                </c:pt>
                <c:pt idx="134">
                  <c:v>1044</c:v>
                </c:pt>
                <c:pt idx="135">
                  <c:v>659</c:v>
                </c:pt>
                <c:pt idx="136">
                  <c:v>626</c:v>
                </c:pt>
                <c:pt idx="137">
                  <c:v>482</c:v>
                </c:pt>
                <c:pt idx="138">
                  <c:v>886</c:v>
                </c:pt>
                <c:pt idx="139">
                  <c:v>719</c:v>
                </c:pt>
                <c:pt idx="140">
                  <c:v>647</c:v>
                </c:pt>
                <c:pt idx="141">
                  <c:v>412</c:v>
                </c:pt>
                <c:pt idx="142">
                  <c:v>418</c:v>
                </c:pt>
                <c:pt idx="143">
                  <c:v>571</c:v>
                </c:pt>
                <c:pt idx="144">
                  <c:v>437</c:v>
                </c:pt>
                <c:pt idx="145">
                  <c:v>575</c:v>
                </c:pt>
                <c:pt idx="146">
                  <c:v>1034</c:v>
                </c:pt>
                <c:pt idx="147">
                  <c:v>647</c:v>
                </c:pt>
                <c:pt idx="148">
                  <c:v>484</c:v>
                </c:pt>
                <c:pt idx="149">
                  <c:v>520</c:v>
                </c:pt>
                <c:pt idx="150">
                  <c:v>533</c:v>
                </c:pt>
                <c:pt idx="151">
                  <c:v>739</c:v>
                </c:pt>
                <c:pt idx="152">
                  <c:v>929</c:v>
                </c:pt>
                <c:pt idx="153">
                  <c:v>970</c:v>
                </c:pt>
                <c:pt idx="154">
                  <c:v>624</c:v>
                </c:pt>
                <c:pt idx="155">
                  <c:v>751</c:v>
                </c:pt>
                <c:pt idx="156">
                  <c:v>685</c:v>
                </c:pt>
                <c:pt idx="157">
                  <c:v>513</c:v>
                </c:pt>
                <c:pt idx="158">
                  <c:v>608</c:v>
                </c:pt>
                <c:pt idx="159">
                  <c:v>462</c:v>
                </c:pt>
                <c:pt idx="160">
                  <c:v>754</c:v>
                </c:pt>
                <c:pt idx="161">
                  <c:v>1202</c:v>
                </c:pt>
                <c:pt idx="162">
                  <c:v>1298</c:v>
                </c:pt>
                <c:pt idx="163">
                  <c:v>850</c:v>
                </c:pt>
                <c:pt idx="164">
                  <c:v>576</c:v>
                </c:pt>
                <c:pt idx="165">
                  <c:v>891</c:v>
                </c:pt>
                <c:pt idx="166">
                  <c:v>512</c:v>
                </c:pt>
                <c:pt idx="167">
                  <c:v>471</c:v>
                </c:pt>
                <c:pt idx="168">
                  <c:v>690</c:v>
                </c:pt>
                <c:pt idx="169">
                  <c:v>570</c:v>
                </c:pt>
                <c:pt idx="170">
                  <c:v>423</c:v>
                </c:pt>
                <c:pt idx="171">
                  <c:v>555</c:v>
                </c:pt>
                <c:pt idx="172">
                  <c:v>871</c:v>
                </c:pt>
                <c:pt idx="173">
                  <c:v>784</c:v>
                </c:pt>
                <c:pt idx="174">
                  <c:v>490</c:v>
                </c:pt>
                <c:pt idx="175">
                  <c:v>808</c:v>
                </c:pt>
                <c:pt idx="176">
                  <c:v>725</c:v>
                </c:pt>
                <c:pt idx="177">
                  <c:v>354</c:v>
                </c:pt>
                <c:pt idx="178">
                  <c:v>915</c:v>
                </c:pt>
                <c:pt idx="179">
                  <c:v>1310</c:v>
                </c:pt>
                <c:pt idx="180">
                  <c:v>1463</c:v>
                </c:pt>
                <c:pt idx="181">
                  <c:v>1990</c:v>
                </c:pt>
                <c:pt idx="182">
                  <c:v>651</c:v>
                </c:pt>
                <c:pt idx="183">
                  <c:v>707</c:v>
                </c:pt>
                <c:pt idx="184">
                  <c:v>754</c:v>
                </c:pt>
                <c:pt idx="185">
                  <c:v>547</c:v>
                </c:pt>
                <c:pt idx="186">
                  <c:v>609</c:v>
                </c:pt>
                <c:pt idx="187">
                  <c:v>511</c:v>
                </c:pt>
                <c:pt idx="188">
                  <c:v>617</c:v>
                </c:pt>
                <c:pt idx="189">
                  <c:v>753</c:v>
                </c:pt>
                <c:pt idx="190">
                  <c:v>594</c:v>
                </c:pt>
                <c:pt idx="191">
                  <c:v>508</c:v>
                </c:pt>
                <c:pt idx="192">
                  <c:v>917</c:v>
                </c:pt>
                <c:pt idx="193">
                  <c:v>920</c:v>
                </c:pt>
                <c:pt idx="194">
                  <c:v>563</c:v>
                </c:pt>
                <c:pt idx="195">
                  <c:v>668</c:v>
                </c:pt>
                <c:pt idx="196">
                  <c:v>1025</c:v>
                </c:pt>
                <c:pt idx="197">
                  <c:v>948</c:v>
                </c:pt>
                <c:pt idx="198">
                  <c:v>1201</c:v>
                </c:pt>
                <c:pt idx="199">
                  <c:v>1214</c:v>
                </c:pt>
                <c:pt idx="200">
                  <c:v>598</c:v>
                </c:pt>
                <c:pt idx="201">
                  <c:v>506</c:v>
                </c:pt>
                <c:pt idx="202">
                  <c:v>1019</c:v>
                </c:pt>
                <c:pt idx="203">
                  <c:v>554</c:v>
                </c:pt>
                <c:pt idx="204">
                  <c:v>1253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5C71-4F44-B45B-8F29B5FB2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12648"/>
        <c:axId val="17170794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基データ!$E$1</c15:sqref>
                        </c15:formulaRef>
                      </c:ext>
                    </c:extLst>
                    <c:strCache>
                      <c:ptCount val="1"/>
                      <c:pt idx="0">
                        <c:v>差(Kg)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基データ!$A$2:$A$207</c15:sqref>
                        </c15:formulaRef>
                      </c:ext>
                    </c:extLst>
                    <c:numCache>
                      <c:formatCode>m"月"d"日"</c:formatCode>
                      <c:ptCount val="206"/>
                      <c:pt idx="0">
                        <c:v>42485</c:v>
                      </c:pt>
                      <c:pt idx="1">
                        <c:v>42486</c:v>
                      </c:pt>
                      <c:pt idx="2">
                        <c:v>42487</c:v>
                      </c:pt>
                      <c:pt idx="3">
                        <c:v>42488</c:v>
                      </c:pt>
                      <c:pt idx="4">
                        <c:v>42489</c:v>
                      </c:pt>
                      <c:pt idx="5">
                        <c:v>42490</c:v>
                      </c:pt>
                      <c:pt idx="6">
                        <c:v>42491</c:v>
                      </c:pt>
                      <c:pt idx="7">
                        <c:v>42492</c:v>
                      </c:pt>
                      <c:pt idx="8">
                        <c:v>42493</c:v>
                      </c:pt>
                      <c:pt idx="9">
                        <c:v>42494</c:v>
                      </c:pt>
                      <c:pt idx="10">
                        <c:v>42495</c:v>
                      </c:pt>
                      <c:pt idx="11">
                        <c:v>42496</c:v>
                      </c:pt>
                      <c:pt idx="12">
                        <c:v>42497</c:v>
                      </c:pt>
                      <c:pt idx="13">
                        <c:v>42498</c:v>
                      </c:pt>
                      <c:pt idx="14">
                        <c:v>42499</c:v>
                      </c:pt>
                      <c:pt idx="15">
                        <c:v>42500</c:v>
                      </c:pt>
                      <c:pt idx="16">
                        <c:v>42501</c:v>
                      </c:pt>
                      <c:pt idx="17">
                        <c:v>42502</c:v>
                      </c:pt>
                      <c:pt idx="18">
                        <c:v>42503</c:v>
                      </c:pt>
                      <c:pt idx="19">
                        <c:v>42504</c:v>
                      </c:pt>
                      <c:pt idx="20">
                        <c:v>42505</c:v>
                      </c:pt>
                      <c:pt idx="21">
                        <c:v>42506</c:v>
                      </c:pt>
                      <c:pt idx="22">
                        <c:v>42507</c:v>
                      </c:pt>
                      <c:pt idx="23">
                        <c:v>42508</c:v>
                      </c:pt>
                      <c:pt idx="24">
                        <c:v>42509</c:v>
                      </c:pt>
                      <c:pt idx="25">
                        <c:v>42510</c:v>
                      </c:pt>
                      <c:pt idx="26">
                        <c:v>42511</c:v>
                      </c:pt>
                      <c:pt idx="27">
                        <c:v>42512</c:v>
                      </c:pt>
                      <c:pt idx="28">
                        <c:v>42513</c:v>
                      </c:pt>
                      <c:pt idx="29">
                        <c:v>42514</c:v>
                      </c:pt>
                      <c:pt idx="30">
                        <c:v>42515</c:v>
                      </c:pt>
                      <c:pt idx="31">
                        <c:v>42516</c:v>
                      </c:pt>
                      <c:pt idx="32">
                        <c:v>42517</c:v>
                      </c:pt>
                      <c:pt idx="33">
                        <c:v>42518</c:v>
                      </c:pt>
                      <c:pt idx="34">
                        <c:v>42519</c:v>
                      </c:pt>
                      <c:pt idx="35">
                        <c:v>42520</c:v>
                      </c:pt>
                      <c:pt idx="36">
                        <c:v>42521</c:v>
                      </c:pt>
                      <c:pt idx="37">
                        <c:v>42522</c:v>
                      </c:pt>
                      <c:pt idx="38">
                        <c:v>42523</c:v>
                      </c:pt>
                      <c:pt idx="39">
                        <c:v>42524</c:v>
                      </c:pt>
                      <c:pt idx="40">
                        <c:v>42525</c:v>
                      </c:pt>
                      <c:pt idx="41">
                        <c:v>42526</c:v>
                      </c:pt>
                      <c:pt idx="42">
                        <c:v>42527</c:v>
                      </c:pt>
                      <c:pt idx="43">
                        <c:v>42528</c:v>
                      </c:pt>
                      <c:pt idx="44">
                        <c:v>42529</c:v>
                      </c:pt>
                      <c:pt idx="45">
                        <c:v>42530</c:v>
                      </c:pt>
                      <c:pt idx="46">
                        <c:v>42531</c:v>
                      </c:pt>
                      <c:pt idx="47">
                        <c:v>42532</c:v>
                      </c:pt>
                      <c:pt idx="48">
                        <c:v>42533</c:v>
                      </c:pt>
                      <c:pt idx="49">
                        <c:v>42534</c:v>
                      </c:pt>
                      <c:pt idx="50">
                        <c:v>42535</c:v>
                      </c:pt>
                      <c:pt idx="51">
                        <c:v>42536</c:v>
                      </c:pt>
                      <c:pt idx="52">
                        <c:v>42537</c:v>
                      </c:pt>
                      <c:pt idx="53">
                        <c:v>42538</c:v>
                      </c:pt>
                      <c:pt idx="54">
                        <c:v>42539</c:v>
                      </c:pt>
                      <c:pt idx="55">
                        <c:v>42540</c:v>
                      </c:pt>
                      <c:pt idx="56">
                        <c:v>42541</c:v>
                      </c:pt>
                      <c:pt idx="57">
                        <c:v>42542</c:v>
                      </c:pt>
                      <c:pt idx="58">
                        <c:v>42543</c:v>
                      </c:pt>
                      <c:pt idx="59">
                        <c:v>42544</c:v>
                      </c:pt>
                      <c:pt idx="60">
                        <c:v>42545</c:v>
                      </c:pt>
                      <c:pt idx="61">
                        <c:v>42546</c:v>
                      </c:pt>
                      <c:pt idx="62">
                        <c:v>42547</c:v>
                      </c:pt>
                      <c:pt idx="63">
                        <c:v>42548</c:v>
                      </c:pt>
                      <c:pt idx="64">
                        <c:v>42549</c:v>
                      </c:pt>
                      <c:pt idx="65">
                        <c:v>42550</c:v>
                      </c:pt>
                      <c:pt idx="66">
                        <c:v>42551</c:v>
                      </c:pt>
                      <c:pt idx="67">
                        <c:v>42552</c:v>
                      </c:pt>
                      <c:pt idx="68">
                        <c:v>42553</c:v>
                      </c:pt>
                      <c:pt idx="69">
                        <c:v>42554</c:v>
                      </c:pt>
                      <c:pt idx="70">
                        <c:v>42555</c:v>
                      </c:pt>
                      <c:pt idx="71">
                        <c:v>42556</c:v>
                      </c:pt>
                      <c:pt idx="72">
                        <c:v>42557</c:v>
                      </c:pt>
                      <c:pt idx="73">
                        <c:v>42558</c:v>
                      </c:pt>
                      <c:pt idx="74">
                        <c:v>42559</c:v>
                      </c:pt>
                      <c:pt idx="75">
                        <c:v>42560</c:v>
                      </c:pt>
                      <c:pt idx="76">
                        <c:v>42561</c:v>
                      </c:pt>
                      <c:pt idx="77">
                        <c:v>42562</c:v>
                      </c:pt>
                      <c:pt idx="78">
                        <c:v>42563</c:v>
                      </c:pt>
                      <c:pt idx="79">
                        <c:v>42564</c:v>
                      </c:pt>
                      <c:pt idx="80">
                        <c:v>42565</c:v>
                      </c:pt>
                      <c:pt idx="81">
                        <c:v>42566</c:v>
                      </c:pt>
                      <c:pt idx="82">
                        <c:v>42567</c:v>
                      </c:pt>
                      <c:pt idx="83">
                        <c:v>42568</c:v>
                      </c:pt>
                      <c:pt idx="84">
                        <c:v>42569</c:v>
                      </c:pt>
                      <c:pt idx="85">
                        <c:v>42570</c:v>
                      </c:pt>
                      <c:pt idx="86">
                        <c:v>42571</c:v>
                      </c:pt>
                      <c:pt idx="87">
                        <c:v>42572</c:v>
                      </c:pt>
                      <c:pt idx="88">
                        <c:v>42573</c:v>
                      </c:pt>
                      <c:pt idx="89">
                        <c:v>42574</c:v>
                      </c:pt>
                      <c:pt idx="90">
                        <c:v>42575</c:v>
                      </c:pt>
                      <c:pt idx="91">
                        <c:v>42576</c:v>
                      </c:pt>
                      <c:pt idx="92">
                        <c:v>42577</c:v>
                      </c:pt>
                      <c:pt idx="93">
                        <c:v>42578</c:v>
                      </c:pt>
                      <c:pt idx="94">
                        <c:v>42579</c:v>
                      </c:pt>
                      <c:pt idx="95">
                        <c:v>42580</c:v>
                      </c:pt>
                      <c:pt idx="96">
                        <c:v>42581</c:v>
                      </c:pt>
                      <c:pt idx="97">
                        <c:v>42582</c:v>
                      </c:pt>
                      <c:pt idx="98">
                        <c:v>42583</c:v>
                      </c:pt>
                      <c:pt idx="99">
                        <c:v>42584</c:v>
                      </c:pt>
                      <c:pt idx="100">
                        <c:v>42585</c:v>
                      </c:pt>
                      <c:pt idx="101">
                        <c:v>42586</c:v>
                      </c:pt>
                      <c:pt idx="102">
                        <c:v>42587</c:v>
                      </c:pt>
                      <c:pt idx="103">
                        <c:v>42588</c:v>
                      </c:pt>
                      <c:pt idx="104">
                        <c:v>42589</c:v>
                      </c:pt>
                      <c:pt idx="105">
                        <c:v>42590</c:v>
                      </c:pt>
                      <c:pt idx="106">
                        <c:v>42591</c:v>
                      </c:pt>
                      <c:pt idx="107">
                        <c:v>42592</c:v>
                      </c:pt>
                      <c:pt idx="108">
                        <c:v>42593</c:v>
                      </c:pt>
                      <c:pt idx="109">
                        <c:v>42594</c:v>
                      </c:pt>
                      <c:pt idx="110">
                        <c:v>42595</c:v>
                      </c:pt>
                      <c:pt idx="111">
                        <c:v>42596</c:v>
                      </c:pt>
                      <c:pt idx="112">
                        <c:v>42597</c:v>
                      </c:pt>
                      <c:pt idx="113">
                        <c:v>42598</c:v>
                      </c:pt>
                      <c:pt idx="114">
                        <c:v>42599</c:v>
                      </c:pt>
                      <c:pt idx="115">
                        <c:v>42600</c:v>
                      </c:pt>
                      <c:pt idx="116">
                        <c:v>42601</c:v>
                      </c:pt>
                      <c:pt idx="117">
                        <c:v>42602</c:v>
                      </c:pt>
                      <c:pt idx="118">
                        <c:v>42603</c:v>
                      </c:pt>
                      <c:pt idx="119">
                        <c:v>42604</c:v>
                      </c:pt>
                      <c:pt idx="120">
                        <c:v>42605</c:v>
                      </c:pt>
                      <c:pt idx="121">
                        <c:v>42606</c:v>
                      </c:pt>
                      <c:pt idx="122">
                        <c:v>42607</c:v>
                      </c:pt>
                      <c:pt idx="123">
                        <c:v>42608</c:v>
                      </c:pt>
                      <c:pt idx="124">
                        <c:v>42609</c:v>
                      </c:pt>
                      <c:pt idx="125">
                        <c:v>42610</c:v>
                      </c:pt>
                      <c:pt idx="126">
                        <c:v>42611</c:v>
                      </c:pt>
                      <c:pt idx="127">
                        <c:v>42612</c:v>
                      </c:pt>
                      <c:pt idx="128">
                        <c:v>42613</c:v>
                      </c:pt>
                      <c:pt idx="129">
                        <c:v>42614</c:v>
                      </c:pt>
                      <c:pt idx="130">
                        <c:v>42615</c:v>
                      </c:pt>
                      <c:pt idx="131">
                        <c:v>42616</c:v>
                      </c:pt>
                      <c:pt idx="132">
                        <c:v>42617</c:v>
                      </c:pt>
                      <c:pt idx="133">
                        <c:v>42618</c:v>
                      </c:pt>
                      <c:pt idx="134">
                        <c:v>42619</c:v>
                      </c:pt>
                      <c:pt idx="135">
                        <c:v>42620</c:v>
                      </c:pt>
                      <c:pt idx="136">
                        <c:v>42621</c:v>
                      </c:pt>
                      <c:pt idx="137">
                        <c:v>42622</c:v>
                      </c:pt>
                      <c:pt idx="138">
                        <c:v>42623</c:v>
                      </c:pt>
                      <c:pt idx="139">
                        <c:v>42624</c:v>
                      </c:pt>
                      <c:pt idx="140">
                        <c:v>42625</c:v>
                      </c:pt>
                      <c:pt idx="141">
                        <c:v>42626</c:v>
                      </c:pt>
                      <c:pt idx="142">
                        <c:v>42627</c:v>
                      </c:pt>
                      <c:pt idx="143">
                        <c:v>42628</c:v>
                      </c:pt>
                      <c:pt idx="144">
                        <c:v>42629</c:v>
                      </c:pt>
                      <c:pt idx="145">
                        <c:v>42630</c:v>
                      </c:pt>
                      <c:pt idx="146">
                        <c:v>42631</c:v>
                      </c:pt>
                      <c:pt idx="147">
                        <c:v>42632</c:v>
                      </c:pt>
                      <c:pt idx="148">
                        <c:v>42633</c:v>
                      </c:pt>
                      <c:pt idx="149">
                        <c:v>42634</c:v>
                      </c:pt>
                      <c:pt idx="150">
                        <c:v>42635</c:v>
                      </c:pt>
                      <c:pt idx="151">
                        <c:v>42636</c:v>
                      </c:pt>
                      <c:pt idx="152">
                        <c:v>42637</c:v>
                      </c:pt>
                      <c:pt idx="153">
                        <c:v>42638</c:v>
                      </c:pt>
                      <c:pt idx="154">
                        <c:v>42639</c:v>
                      </c:pt>
                      <c:pt idx="155">
                        <c:v>42640</c:v>
                      </c:pt>
                      <c:pt idx="156">
                        <c:v>42641</c:v>
                      </c:pt>
                      <c:pt idx="157">
                        <c:v>42642</c:v>
                      </c:pt>
                      <c:pt idx="158">
                        <c:v>42643</c:v>
                      </c:pt>
                      <c:pt idx="159">
                        <c:v>42644</c:v>
                      </c:pt>
                      <c:pt idx="160">
                        <c:v>42645</c:v>
                      </c:pt>
                      <c:pt idx="161">
                        <c:v>42646</c:v>
                      </c:pt>
                      <c:pt idx="162">
                        <c:v>42647</c:v>
                      </c:pt>
                      <c:pt idx="163">
                        <c:v>42648</c:v>
                      </c:pt>
                      <c:pt idx="164">
                        <c:v>42649</c:v>
                      </c:pt>
                      <c:pt idx="165">
                        <c:v>42650</c:v>
                      </c:pt>
                      <c:pt idx="166">
                        <c:v>42651</c:v>
                      </c:pt>
                      <c:pt idx="167">
                        <c:v>42652</c:v>
                      </c:pt>
                      <c:pt idx="168">
                        <c:v>42653</c:v>
                      </c:pt>
                      <c:pt idx="169">
                        <c:v>42654</c:v>
                      </c:pt>
                      <c:pt idx="170">
                        <c:v>42655</c:v>
                      </c:pt>
                      <c:pt idx="171">
                        <c:v>42656</c:v>
                      </c:pt>
                      <c:pt idx="172">
                        <c:v>42657</c:v>
                      </c:pt>
                      <c:pt idx="173">
                        <c:v>42658</c:v>
                      </c:pt>
                      <c:pt idx="174">
                        <c:v>42659</c:v>
                      </c:pt>
                      <c:pt idx="175">
                        <c:v>42660</c:v>
                      </c:pt>
                      <c:pt idx="176">
                        <c:v>42661</c:v>
                      </c:pt>
                      <c:pt idx="177">
                        <c:v>42662</c:v>
                      </c:pt>
                      <c:pt idx="178">
                        <c:v>42663</c:v>
                      </c:pt>
                      <c:pt idx="179">
                        <c:v>42664</c:v>
                      </c:pt>
                      <c:pt idx="180">
                        <c:v>42665</c:v>
                      </c:pt>
                      <c:pt idx="181">
                        <c:v>42666</c:v>
                      </c:pt>
                      <c:pt idx="182">
                        <c:v>42667</c:v>
                      </c:pt>
                      <c:pt idx="183">
                        <c:v>42668</c:v>
                      </c:pt>
                      <c:pt idx="184">
                        <c:v>42669</c:v>
                      </c:pt>
                      <c:pt idx="185">
                        <c:v>42670</c:v>
                      </c:pt>
                      <c:pt idx="186">
                        <c:v>42671</c:v>
                      </c:pt>
                      <c:pt idx="187">
                        <c:v>42672</c:v>
                      </c:pt>
                      <c:pt idx="188">
                        <c:v>42673</c:v>
                      </c:pt>
                      <c:pt idx="189">
                        <c:v>42674</c:v>
                      </c:pt>
                      <c:pt idx="190">
                        <c:v>42675</c:v>
                      </c:pt>
                      <c:pt idx="191">
                        <c:v>42676</c:v>
                      </c:pt>
                      <c:pt idx="192">
                        <c:v>42677</c:v>
                      </c:pt>
                      <c:pt idx="193">
                        <c:v>42678</c:v>
                      </c:pt>
                      <c:pt idx="194">
                        <c:v>42679</c:v>
                      </c:pt>
                      <c:pt idx="195">
                        <c:v>42680</c:v>
                      </c:pt>
                      <c:pt idx="196">
                        <c:v>42681</c:v>
                      </c:pt>
                      <c:pt idx="197">
                        <c:v>42682</c:v>
                      </c:pt>
                      <c:pt idx="198">
                        <c:v>42683</c:v>
                      </c:pt>
                      <c:pt idx="199">
                        <c:v>42684</c:v>
                      </c:pt>
                      <c:pt idx="200">
                        <c:v>42685</c:v>
                      </c:pt>
                      <c:pt idx="201">
                        <c:v>42686</c:v>
                      </c:pt>
                      <c:pt idx="202">
                        <c:v>42687</c:v>
                      </c:pt>
                      <c:pt idx="203">
                        <c:v>42688</c:v>
                      </c:pt>
                      <c:pt idx="204">
                        <c:v>42689</c:v>
                      </c:pt>
                      <c:pt idx="205">
                        <c:v>42690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基データ!$E$2:$E$207</c15:sqref>
                        </c15:formulaRef>
                      </c:ext>
                    </c:extLst>
                    <c:numCache>
                      <c:formatCode>General</c:formatCode>
                      <c:ptCount val="20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0.59999999999999432</c:v>
                      </c:pt>
                      <c:pt idx="3">
                        <c:v>0</c:v>
                      </c:pt>
                      <c:pt idx="4">
                        <c:v>-1</c:v>
                      </c:pt>
                      <c:pt idx="5">
                        <c:v>-1</c:v>
                      </c:pt>
                      <c:pt idx="6">
                        <c:v>-1</c:v>
                      </c:pt>
                      <c:pt idx="7">
                        <c:v>-0.80000000000001137</c:v>
                      </c:pt>
                      <c:pt idx="8">
                        <c:v>-1.6000000000000085</c:v>
                      </c:pt>
                      <c:pt idx="9">
                        <c:v>-1.6000000000000085</c:v>
                      </c:pt>
                      <c:pt idx="10">
                        <c:v>-1.6000000000000085</c:v>
                      </c:pt>
                      <c:pt idx="11">
                        <c:v>-1.6000000000000085</c:v>
                      </c:pt>
                      <c:pt idx="12">
                        <c:v>-1.1000000000000085</c:v>
                      </c:pt>
                      <c:pt idx="13">
                        <c:v>-1.8000000000000114</c:v>
                      </c:pt>
                      <c:pt idx="14">
                        <c:v>-1.8000000000000114</c:v>
                      </c:pt>
                      <c:pt idx="15">
                        <c:v>-1.8000000000000114</c:v>
                      </c:pt>
                      <c:pt idx="16">
                        <c:v>-1.8000000000000114</c:v>
                      </c:pt>
                      <c:pt idx="17">
                        <c:v>-2.6000000000000085</c:v>
                      </c:pt>
                      <c:pt idx="18">
                        <c:v>-2.6000000000000085</c:v>
                      </c:pt>
                      <c:pt idx="19">
                        <c:v>-2.6000000000000085</c:v>
                      </c:pt>
                      <c:pt idx="20">
                        <c:v>-2.6000000000000085</c:v>
                      </c:pt>
                      <c:pt idx="21">
                        <c:v>-3.1000000000000085</c:v>
                      </c:pt>
                      <c:pt idx="22">
                        <c:v>-3.1000000000000085</c:v>
                      </c:pt>
                      <c:pt idx="23">
                        <c:v>-1.9000000000000057</c:v>
                      </c:pt>
                      <c:pt idx="24">
                        <c:v>-3.1000000000000085</c:v>
                      </c:pt>
                      <c:pt idx="25">
                        <c:v>-3.1000000000000085</c:v>
                      </c:pt>
                      <c:pt idx="26">
                        <c:v>-3.1000000000000085</c:v>
                      </c:pt>
                      <c:pt idx="27">
                        <c:v>-3.4000000000000057</c:v>
                      </c:pt>
                      <c:pt idx="28">
                        <c:v>-3.6000000000000085</c:v>
                      </c:pt>
                      <c:pt idx="29">
                        <c:v>-3.2000000000000028</c:v>
                      </c:pt>
                      <c:pt idx="30">
                        <c:v>-4</c:v>
                      </c:pt>
                      <c:pt idx="31">
                        <c:v>-3.5</c:v>
                      </c:pt>
                      <c:pt idx="32">
                        <c:v>-4.2000000000000028</c:v>
                      </c:pt>
                      <c:pt idx="33">
                        <c:v>-3.7000000000000028</c:v>
                      </c:pt>
                      <c:pt idx="34">
                        <c:v>-3.7000000000000028</c:v>
                      </c:pt>
                      <c:pt idx="35">
                        <c:v>-4</c:v>
                      </c:pt>
                      <c:pt idx="36">
                        <c:v>-4</c:v>
                      </c:pt>
                      <c:pt idx="37">
                        <c:v>-3.2000000000000028</c:v>
                      </c:pt>
                      <c:pt idx="38">
                        <c:v>-4</c:v>
                      </c:pt>
                      <c:pt idx="39">
                        <c:v>-4.1000000000000085</c:v>
                      </c:pt>
                      <c:pt idx="40">
                        <c:v>-4</c:v>
                      </c:pt>
                      <c:pt idx="41">
                        <c:v>-3.6000000000000085</c:v>
                      </c:pt>
                      <c:pt idx="42">
                        <c:v>-3.6000000000000085</c:v>
                      </c:pt>
                      <c:pt idx="43">
                        <c:v>-3.2000000000000028</c:v>
                      </c:pt>
                      <c:pt idx="44">
                        <c:v>-3.9000000000000057</c:v>
                      </c:pt>
                      <c:pt idx="45">
                        <c:v>-3.9000000000000057</c:v>
                      </c:pt>
                      <c:pt idx="46">
                        <c:v>-4.5</c:v>
                      </c:pt>
                      <c:pt idx="47">
                        <c:v>-4</c:v>
                      </c:pt>
                      <c:pt idx="48">
                        <c:v>-4.3000000000000114</c:v>
                      </c:pt>
                      <c:pt idx="49">
                        <c:v>-4.3000000000000114</c:v>
                      </c:pt>
                      <c:pt idx="50">
                        <c:v>-3.9000000000000057</c:v>
                      </c:pt>
                      <c:pt idx="51">
                        <c:v>-3.4000000000000057</c:v>
                      </c:pt>
                      <c:pt idx="52">
                        <c:v>-4.8000000000000114</c:v>
                      </c:pt>
                      <c:pt idx="53">
                        <c:v>-4.8000000000000114</c:v>
                      </c:pt>
                      <c:pt idx="54">
                        <c:v>-4.3000000000000114</c:v>
                      </c:pt>
                      <c:pt idx="55">
                        <c:v>-4.9000000000000057</c:v>
                      </c:pt>
                      <c:pt idx="56">
                        <c:v>-5.4000000000000057</c:v>
                      </c:pt>
                      <c:pt idx="57">
                        <c:v>-5.4000000000000057</c:v>
                      </c:pt>
                      <c:pt idx="58">
                        <c:v>-5.4000000000000057</c:v>
                      </c:pt>
                      <c:pt idx="59">
                        <c:v>-5.7000000000000028</c:v>
                      </c:pt>
                      <c:pt idx="60">
                        <c:v>-5.1000000000000085</c:v>
                      </c:pt>
                      <c:pt idx="61">
                        <c:v>-5.5</c:v>
                      </c:pt>
                      <c:pt idx="62">
                        <c:v>-5.5</c:v>
                      </c:pt>
                      <c:pt idx="63">
                        <c:v>-5.5</c:v>
                      </c:pt>
                      <c:pt idx="64">
                        <c:v>-5.5</c:v>
                      </c:pt>
                      <c:pt idx="65">
                        <c:v>-5.8000000000000114</c:v>
                      </c:pt>
                      <c:pt idx="66">
                        <c:v>-5.8000000000000114</c:v>
                      </c:pt>
                      <c:pt idx="67">
                        <c:v>-5.6000000000000085</c:v>
                      </c:pt>
                      <c:pt idx="68">
                        <c:v>-4.9000000000000057</c:v>
                      </c:pt>
                      <c:pt idx="69">
                        <c:v>-6.2000000000000028</c:v>
                      </c:pt>
                      <c:pt idx="70">
                        <c:v>-6.5</c:v>
                      </c:pt>
                      <c:pt idx="71">
                        <c:v>-6</c:v>
                      </c:pt>
                      <c:pt idx="72">
                        <c:v>-6</c:v>
                      </c:pt>
                      <c:pt idx="73">
                        <c:v>-6.3000000000000114</c:v>
                      </c:pt>
                      <c:pt idx="74">
                        <c:v>-6</c:v>
                      </c:pt>
                      <c:pt idx="75">
                        <c:v>-6</c:v>
                      </c:pt>
                      <c:pt idx="76">
                        <c:v>-6.8000000000000114</c:v>
                      </c:pt>
                      <c:pt idx="77">
                        <c:v>-6.3000000000000114</c:v>
                      </c:pt>
                      <c:pt idx="78">
                        <c:v>-6.3000000000000114</c:v>
                      </c:pt>
                      <c:pt idx="79">
                        <c:v>-6.3000000000000114</c:v>
                      </c:pt>
                      <c:pt idx="80">
                        <c:v>-6.9000000000000057</c:v>
                      </c:pt>
                      <c:pt idx="81">
                        <c:v>-6.4000000000000057</c:v>
                      </c:pt>
                      <c:pt idx="82">
                        <c:v>-6.4000000000000057</c:v>
                      </c:pt>
                      <c:pt idx="83">
                        <c:v>-7.7000000000000028</c:v>
                      </c:pt>
                      <c:pt idx="84">
                        <c:v>-7.2000000000000028</c:v>
                      </c:pt>
                      <c:pt idx="85">
                        <c:v>-7.1000000000000085</c:v>
                      </c:pt>
                      <c:pt idx="86">
                        <c:v>-7.5</c:v>
                      </c:pt>
                      <c:pt idx="87">
                        <c:v>-7.5</c:v>
                      </c:pt>
                      <c:pt idx="88">
                        <c:v>-7.2000000000000028</c:v>
                      </c:pt>
                      <c:pt idx="89">
                        <c:v>-6.8000000000000114</c:v>
                      </c:pt>
                      <c:pt idx="90">
                        <c:v>-7.5</c:v>
                      </c:pt>
                      <c:pt idx="91">
                        <c:v>-6.8000000000000114</c:v>
                      </c:pt>
                      <c:pt idx="92">
                        <c:v>-7.1000000000000085</c:v>
                      </c:pt>
                      <c:pt idx="93">
                        <c:v>-7.1000000000000085</c:v>
                      </c:pt>
                      <c:pt idx="94">
                        <c:v>-7.2000000000000028</c:v>
                      </c:pt>
                      <c:pt idx="95">
                        <c:v>-7.5</c:v>
                      </c:pt>
                      <c:pt idx="96">
                        <c:v>-6.8000000000000114</c:v>
                      </c:pt>
                      <c:pt idx="97">
                        <c:v>-6.5</c:v>
                      </c:pt>
                      <c:pt idx="98">
                        <c:v>-6.7000000000000028</c:v>
                      </c:pt>
                      <c:pt idx="99">
                        <c:v>-7.1000000000000085</c:v>
                      </c:pt>
                      <c:pt idx="100">
                        <c:v>-7</c:v>
                      </c:pt>
                      <c:pt idx="101">
                        <c:v>-7</c:v>
                      </c:pt>
                      <c:pt idx="102">
                        <c:v>-7</c:v>
                      </c:pt>
                      <c:pt idx="103">
                        <c:v>-6.7000000000000028</c:v>
                      </c:pt>
                      <c:pt idx="104">
                        <c:v>-7.2000000000000028</c:v>
                      </c:pt>
                      <c:pt idx="105">
                        <c:v>-7.5</c:v>
                      </c:pt>
                      <c:pt idx="106">
                        <c:v>-7.2000000000000028</c:v>
                      </c:pt>
                      <c:pt idx="107">
                        <c:v>-7.8000000000000114</c:v>
                      </c:pt>
                      <c:pt idx="108">
                        <c:v>-7.8000000000000114</c:v>
                      </c:pt>
                      <c:pt idx="109">
                        <c:v>-7.2000000000000028</c:v>
                      </c:pt>
                      <c:pt idx="110">
                        <c:v>-7.7000000000000028</c:v>
                      </c:pt>
                      <c:pt idx="111">
                        <c:v>-8.1000000000000085</c:v>
                      </c:pt>
                      <c:pt idx="112">
                        <c:v>-8.1000000000000085</c:v>
                      </c:pt>
                      <c:pt idx="113">
                        <c:v>-7.3000000000000114</c:v>
                      </c:pt>
                      <c:pt idx="114">
                        <c:v>-7.2000000000000028</c:v>
                      </c:pt>
                      <c:pt idx="115">
                        <c:v>-7.3000000000000114</c:v>
                      </c:pt>
                      <c:pt idx="116">
                        <c:v>-7</c:v>
                      </c:pt>
                      <c:pt idx="117">
                        <c:v>-7.7000000000000028</c:v>
                      </c:pt>
                      <c:pt idx="118">
                        <c:v>-8.3000000000000114</c:v>
                      </c:pt>
                      <c:pt idx="119">
                        <c:v>-7.5</c:v>
                      </c:pt>
                      <c:pt idx="120">
                        <c:v>-8.3000000000000114</c:v>
                      </c:pt>
                      <c:pt idx="121">
                        <c:v>-7.4000000000000057</c:v>
                      </c:pt>
                      <c:pt idx="122">
                        <c:v>-7.4000000000000057</c:v>
                      </c:pt>
                      <c:pt idx="123">
                        <c:v>-8</c:v>
                      </c:pt>
                      <c:pt idx="124">
                        <c:v>-7.7000000000000028</c:v>
                      </c:pt>
                      <c:pt idx="125">
                        <c:v>-8.3000000000000114</c:v>
                      </c:pt>
                      <c:pt idx="126">
                        <c:v>-8.3000000000000114</c:v>
                      </c:pt>
                      <c:pt idx="127">
                        <c:v>-8.3000000000000114</c:v>
                      </c:pt>
                      <c:pt idx="128">
                        <c:v>-8.3000000000000114</c:v>
                      </c:pt>
                      <c:pt idx="129">
                        <c:v>-8.3000000000000114</c:v>
                      </c:pt>
                      <c:pt idx="130">
                        <c:v>-8.3000000000000114</c:v>
                      </c:pt>
                      <c:pt idx="131">
                        <c:v>-8.3000000000000114</c:v>
                      </c:pt>
                      <c:pt idx="132">
                        <c:v>-8.7000000000000028</c:v>
                      </c:pt>
                      <c:pt idx="133">
                        <c:v>-8.7000000000000028</c:v>
                      </c:pt>
                      <c:pt idx="134">
                        <c:v>-8.4000000000000057</c:v>
                      </c:pt>
                      <c:pt idx="135">
                        <c:v>-7.7000000000000028</c:v>
                      </c:pt>
                      <c:pt idx="136">
                        <c:v>-7.7000000000000028</c:v>
                      </c:pt>
                      <c:pt idx="137">
                        <c:v>-8.3000000000000114</c:v>
                      </c:pt>
                      <c:pt idx="138">
                        <c:v>-8.3000000000000114</c:v>
                      </c:pt>
                      <c:pt idx="139">
                        <c:v>-8.3000000000000114</c:v>
                      </c:pt>
                      <c:pt idx="140">
                        <c:v>-8.3000000000000114</c:v>
                      </c:pt>
                      <c:pt idx="141">
                        <c:v>-8.9000000000000057</c:v>
                      </c:pt>
                      <c:pt idx="142">
                        <c:v>-8.9000000000000057</c:v>
                      </c:pt>
                      <c:pt idx="143">
                        <c:v>-8.9000000000000057</c:v>
                      </c:pt>
                      <c:pt idx="144">
                        <c:v>-8.9000000000000057</c:v>
                      </c:pt>
                      <c:pt idx="145">
                        <c:v>-8.9000000000000057</c:v>
                      </c:pt>
                      <c:pt idx="146">
                        <c:v>-9.7000000000000028</c:v>
                      </c:pt>
                      <c:pt idx="147">
                        <c:v>-10.200000000000003</c:v>
                      </c:pt>
                      <c:pt idx="148">
                        <c:v>-9.4000000000000057</c:v>
                      </c:pt>
                      <c:pt idx="149">
                        <c:v>-8.2000000000000028</c:v>
                      </c:pt>
                      <c:pt idx="150">
                        <c:v>-8.1000000000000085</c:v>
                      </c:pt>
                      <c:pt idx="151">
                        <c:v>-10</c:v>
                      </c:pt>
                      <c:pt idx="152">
                        <c:v>-8.9000000000000057</c:v>
                      </c:pt>
                      <c:pt idx="153">
                        <c:v>-9.5</c:v>
                      </c:pt>
                      <c:pt idx="154">
                        <c:v>-9</c:v>
                      </c:pt>
                      <c:pt idx="155">
                        <c:v>-9</c:v>
                      </c:pt>
                      <c:pt idx="156">
                        <c:v>-8.6000000000000085</c:v>
                      </c:pt>
                      <c:pt idx="157">
                        <c:v>-8.9000000000000057</c:v>
                      </c:pt>
                      <c:pt idx="158">
                        <c:v>-8.3000000000000114</c:v>
                      </c:pt>
                      <c:pt idx="159">
                        <c:v>-8.9000000000000057</c:v>
                      </c:pt>
                      <c:pt idx="160">
                        <c:v>-8.6000000000000085</c:v>
                      </c:pt>
                      <c:pt idx="161">
                        <c:v>-8.8000000000000114</c:v>
                      </c:pt>
                      <c:pt idx="162">
                        <c:v>-8.8000000000000114</c:v>
                      </c:pt>
                      <c:pt idx="163">
                        <c:v>-8.8000000000000114</c:v>
                      </c:pt>
                      <c:pt idx="164">
                        <c:v>-8.5</c:v>
                      </c:pt>
                      <c:pt idx="165">
                        <c:v>-8.3000000000000114</c:v>
                      </c:pt>
                      <c:pt idx="166">
                        <c:v>-8.3000000000000114</c:v>
                      </c:pt>
                      <c:pt idx="167">
                        <c:v>-8.8000000000000114</c:v>
                      </c:pt>
                      <c:pt idx="168">
                        <c:v>-9</c:v>
                      </c:pt>
                      <c:pt idx="169">
                        <c:v>-8.9000000000000057</c:v>
                      </c:pt>
                      <c:pt idx="170">
                        <c:v>-8.4000000000000057</c:v>
                      </c:pt>
                      <c:pt idx="171">
                        <c:v>-9</c:v>
                      </c:pt>
                      <c:pt idx="172">
                        <c:v>-9.3000000000000114</c:v>
                      </c:pt>
                      <c:pt idx="173">
                        <c:v>-8</c:v>
                      </c:pt>
                      <c:pt idx="174">
                        <c:v>-8.1000000000000085</c:v>
                      </c:pt>
                      <c:pt idx="175">
                        <c:v>-8.8000000000000114</c:v>
                      </c:pt>
                      <c:pt idx="176">
                        <c:v>-8.6000000000000085</c:v>
                      </c:pt>
                      <c:pt idx="177">
                        <c:v>-8.1000000000000085</c:v>
                      </c:pt>
                      <c:pt idx="178">
                        <c:v>-8.6000000000000085</c:v>
                      </c:pt>
                      <c:pt idx="179">
                        <c:v>-8.1000000000000085</c:v>
                      </c:pt>
                      <c:pt idx="180">
                        <c:v>-7.9000000000000057</c:v>
                      </c:pt>
                      <c:pt idx="181">
                        <c:v>-9.1000000000000085</c:v>
                      </c:pt>
                      <c:pt idx="182">
                        <c:v>-8.7000000000000028</c:v>
                      </c:pt>
                      <c:pt idx="183">
                        <c:v>-8.2000000000000028</c:v>
                      </c:pt>
                      <c:pt idx="184">
                        <c:v>-8.5</c:v>
                      </c:pt>
                      <c:pt idx="185">
                        <c:v>-8.4000000000000057</c:v>
                      </c:pt>
                      <c:pt idx="186">
                        <c:v>-8.4000000000000057</c:v>
                      </c:pt>
                      <c:pt idx="187">
                        <c:v>-8.2000000000000028</c:v>
                      </c:pt>
                      <c:pt idx="188">
                        <c:v>-7.8000000000000114</c:v>
                      </c:pt>
                      <c:pt idx="189">
                        <c:v>-8.1000000000000085</c:v>
                      </c:pt>
                      <c:pt idx="190">
                        <c:v>-8.2000000000000028</c:v>
                      </c:pt>
                      <c:pt idx="191">
                        <c:v>-8.2000000000000028</c:v>
                      </c:pt>
                      <c:pt idx="192">
                        <c:v>-7.5</c:v>
                      </c:pt>
                      <c:pt idx="193">
                        <c:v>-8.4000000000000057</c:v>
                      </c:pt>
                      <c:pt idx="194">
                        <c:v>-7.1000000000000085</c:v>
                      </c:pt>
                      <c:pt idx="195">
                        <c:v>-8.1000000000000085</c:v>
                      </c:pt>
                      <c:pt idx="196">
                        <c:v>-9.2000000000000028</c:v>
                      </c:pt>
                      <c:pt idx="197">
                        <c:v>-8.1000000000000085</c:v>
                      </c:pt>
                      <c:pt idx="198">
                        <c:v>-8.5</c:v>
                      </c:pt>
                      <c:pt idx="199">
                        <c:v>-8.2000000000000028</c:v>
                      </c:pt>
                      <c:pt idx="200">
                        <c:v>-7.3000000000000114</c:v>
                      </c:pt>
                      <c:pt idx="201">
                        <c:v>-8.3000000000000114</c:v>
                      </c:pt>
                      <c:pt idx="202">
                        <c:v>-8.7000000000000028</c:v>
                      </c:pt>
                      <c:pt idx="203">
                        <c:v>-8.3000000000000114</c:v>
                      </c:pt>
                      <c:pt idx="204">
                        <c:v>-8.7000000000000028</c:v>
                      </c:pt>
                      <c:pt idx="205">
                        <c:v>-7.7000000000000028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1D7-4E80-9695-0EF3F187C3E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基データ!$F$1</c15:sqref>
                        </c15:formulaRef>
                      </c:ext>
                    </c:extLst>
                    <c:strCache>
                      <c:ptCount val="1"/>
                      <c:pt idx="0">
                        <c:v>摂取カロリー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基データ!$A$2:$A$207</c15:sqref>
                        </c15:formulaRef>
                      </c:ext>
                    </c:extLst>
                    <c:numCache>
                      <c:formatCode>m"月"d"日"</c:formatCode>
                      <c:ptCount val="206"/>
                      <c:pt idx="0">
                        <c:v>42485</c:v>
                      </c:pt>
                      <c:pt idx="1">
                        <c:v>42486</c:v>
                      </c:pt>
                      <c:pt idx="2">
                        <c:v>42487</c:v>
                      </c:pt>
                      <c:pt idx="3">
                        <c:v>42488</c:v>
                      </c:pt>
                      <c:pt idx="4">
                        <c:v>42489</c:v>
                      </c:pt>
                      <c:pt idx="5">
                        <c:v>42490</c:v>
                      </c:pt>
                      <c:pt idx="6">
                        <c:v>42491</c:v>
                      </c:pt>
                      <c:pt idx="7">
                        <c:v>42492</c:v>
                      </c:pt>
                      <c:pt idx="8">
                        <c:v>42493</c:v>
                      </c:pt>
                      <c:pt idx="9">
                        <c:v>42494</c:v>
                      </c:pt>
                      <c:pt idx="10">
                        <c:v>42495</c:v>
                      </c:pt>
                      <c:pt idx="11">
                        <c:v>42496</c:v>
                      </c:pt>
                      <c:pt idx="12">
                        <c:v>42497</c:v>
                      </c:pt>
                      <c:pt idx="13">
                        <c:v>42498</c:v>
                      </c:pt>
                      <c:pt idx="14">
                        <c:v>42499</c:v>
                      </c:pt>
                      <c:pt idx="15">
                        <c:v>42500</c:v>
                      </c:pt>
                      <c:pt idx="16">
                        <c:v>42501</c:v>
                      </c:pt>
                      <c:pt idx="17">
                        <c:v>42502</c:v>
                      </c:pt>
                      <c:pt idx="18">
                        <c:v>42503</c:v>
                      </c:pt>
                      <c:pt idx="19">
                        <c:v>42504</c:v>
                      </c:pt>
                      <c:pt idx="20">
                        <c:v>42505</c:v>
                      </c:pt>
                      <c:pt idx="21">
                        <c:v>42506</c:v>
                      </c:pt>
                      <c:pt idx="22">
                        <c:v>42507</c:v>
                      </c:pt>
                      <c:pt idx="23">
                        <c:v>42508</c:v>
                      </c:pt>
                      <c:pt idx="24">
                        <c:v>42509</c:v>
                      </c:pt>
                      <c:pt idx="25">
                        <c:v>42510</c:v>
                      </c:pt>
                      <c:pt idx="26">
                        <c:v>42511</c:v>
                      </c:pt>
                      <c:pt idx="27">
                        <c:v>42512</c:v>
                      </c:pt>
                      <c:pt idx="28">
                        <c:v>42513</c:v>
                      </c:pt>
                      <c:pt idx="29">
                        <c:v>42514</c:v>
                      </c:pt>
                      <c:pt idx="30">
                        <c:v>42515</c:v>
                      </c:pt>
                      <c:pt idx="31">
                        <c:v>42516</c:v>
                      </c:pt>
                      <c:pt idx="32">
                        <c:v>42517</c:v>
                      </c:pt>
                      <c:pt idx="33">
                        <c:v>42518</c:v>
                      </c:pt>
                      <c:pt idx="34">
                        <c:v>42519</c:v>
                      </c:pt>
                      <c:pt idx="35">
                        <c:v>42520</c:v>
                      </c:pt>
                      <c:pt idx="36">
                        <c:v>42521</c:v>
                      </c:pt>
                      <c:pt idx="37">
                        <c:v>42522</c:v>
                      </c:pt>
                      <c:pt idx="38">
                        <c:v>42523</c:v>
                      </c:pt>
                      <c:pt idx="39">
                        <c:v>42524</c:v>
                      </c:pt>
                      <c:pt idx="40">
                        <c:v>42525</c:v>
                      </c:pt>
                      <c:pt idx="41">
                        <c:v>42526</c:v>
                      </c:pt>
                      <c:pt idx="42">
                        <c:v>42527</c:v>
                      </c:pt>
                      <c:pt idx="43">
                        <c:v>42528</c:v>
                      </c:pt>
                      <c:pt idx="44">
                        <c:v>42529</c:v>
                      </c:pt>
                      <c:pt idx="45">
                        <c:v>42530</c:v>
                      </c:pt>
                      <c:pt idx="46">
                        <c:v>42531</c:v>
                      </c:pt>
                      <c:pt idx="47">
                        <c:v>42532</c:v>
                      </c:pt>
                      <c:pt idx="48">
                        <c:v>42533</c:v>
                      </c:pt>
                      <c:pt idx="49">
                        <c:v>42534</c:v>
                      </c:pt>
                      <c:pt idx="50">
                        <c:v>42535</c:v>
                      </c:pt>
                      <c:pt idx="51">
                        <c:v>42536</c:v>
                      </c:pt>
                      <c:pt idx="52">
                        <c:v>42537</c:v>
                      </c:pt>
                      <c:pt idx="53">
                        <c:v>42538</c:v>
                      </c:pt>
                      <c:pt idx="54">
                        <c:v>42539</c:v>
                      </c:pt>
                      <c:pt idx="55">
                        <c:v>42540</c:v>
                      </c:pt>
                      <c:pt idx="56">
                        <c:v>42541</c:v>
                      </c:pt>
                      <c:pt idx="57">
                        <c:v>42542</c:v>
                      </c:pt>
                      <c:pt idx="58">
                        <c:v>42543</c:v>
                      </c:pt>
                      <c:pt idx="59">
                        <c:v>42544</c:v>
                      </c:pt>
                      <c:pt idx="60">
                        <c:v>42545</c:v>
                      </c:pt>
                      <c:pt idx="61">
                        <c:v>42546</c:v>
                      </c:pt>
                      <c:pt idx="62">
                        <c:v>42547</c:v>
                      </c:pt>
                      <c:pt idx="63">
                        <c:v>42548</c:v>
                      </c:pt>
                      <c:pt idx="64">
                        <c:v>42549</c:v>
                      </c:pt>
                      <c:pt idx="65">
                        <c:v>42550</c:v>
                      </c:pt>
                      <c:pt idx="66">
                        <c:v>42551</c:v>
                      </c:pt>
                      <c:pt idx="67">
                        <c:v>42552</c:v>
                      </c:pt>
                      <c:pt idx="68">
                        <c:v>42553</c:v>
                      </c:pt>
                      <c:pt idx="69">
                        <c:v>42554</c:v>
                      </c:pt>
                      <c:pt idx="70">
                        <c:v>42555</c:v>
                      </c:pt>
                      <c:pt idx="71">
                        <c:v>42556</c:v>
                      </c:pt>
                      <c:pt idx="72">
                        <c:v>42557</c:v>
                      </c:pt>
                      <c:pt idx="73">
                        <c:v>42558</c:v>
                      </c:pt>
                      <c:pt idx="74">
                        <c:v>42559</c:v>
                      </c:pt>
                      <c:pt idx="75">
                        <c:v>42560</c:v>
                      </c:pt>
                      <c:pt idx="76">
                        <c:v>42561</c:v>
                      </c:pt>
                      <c:pt idx="77">
                        <c:v>42562</c:v>
                      </c:pt>
                      <c:pt idx="78">
                        <c:v>42563</c:v>
                      </c:pt>
                      <c:pt idx="79">
                        <c:v>42564</c:v>
                      </c:pt>
                      <c:pt idx="80">
                        <c:v>42565</c:v>
                      </c:pt>
                      <c:pt idx="81">
                        <c:v>42566</c:v>
                      </c:pt>
                      <c:pt idx="82">
                        <c:v>42567</c:v>
                      </c:pt>
                      <c:pt idx="83">
                        <c:v>42568</c:v>
                      </c:pt>
                      <c:pt idx="84">
                        <c:v>42569</c:v>
                      </c:pt>
                      <c:pt idx="85">
                        <c:v>42570</c:v>
                      </c:pt>
                      <c:pt idx="86">
                        <c:v>42571</c:v>
                      </c:pt>
                      <c:pt idx="87">
                        <c:v>42572</c:v>
                      </c:pt>
                      <c:pt idx="88">
                        <c:v>42573</c:v>
                      </c:pt>
                      <c:pt idx="89">
                        <c:v>42574</c:v>
                      </c:pt>
                      <c:pt idx="90">
                        <c:v>42575</c:v>
                      </c:pt>
                      <c:pt idx="91">
                        <c:v>42576</c:v>
                      </c:pt>
                      <c:pt idx="92">
                        <c:v>42577</c:v>
                      </c:pt>
                      <c:pt idx="93">
                        <c:v>42578</c:v>
                      </c:pt>
                      <c:pt idx="94">
                        <c:v>42579</c:v>
                      </c:pt>
                      <c:pt idx="95">
                        <c:v>42580</c:v>
                      </c:pt>
                      <c:pt idx="96">
                        <c:v>42581</c:v>
                      </c:pt>
                      <c:pt idx="97">
                        <c:v>42582</c:v>
                      </c:pt>
                      <c:pt idx="98">
                        <c:v>42583</c:v>
                      </c:pt>
                      <c:pt idx="99">
                        <c:v>42584</c:v>
                      </c:pt>
                      <c:pt idx="100">
                        <c:v>42585</c:v>
                      </c:pt>
                      <c:pt idx="101">
                        <c:v>42586</c:v>
                      </c:pt>
                      <c:pt idx="102">
                        <c:v>42587</c:v>
                      </c:pt>
                      <c:pt idx="103">
                        <c:v>42588</c:v>
                      </c:pt>
                      <c:pt idx="104">
                        <c:v>42589</c:v>
                      </c:pt>
                      <c:pt idx="105">
                        <c:v>42590</c:v>
                      </c:pt>
                      <c:pt idx="106">
                        <c:v>42591</c:v>
                      </c:pt>
                      <c:pt idx="107">
                        <c:v>42592</c:v>
                      </c:pt>
                      <c:pt idx="108">
                        <c:v>42593</c:v>
                      </c:pt>
                      <c:pt idx="109">
                        <c:v>42594</c:v>
                      </c:pt>
                      <c:pt idx="110">
                        <c:v>42595</c:v>
                      </c:pt>
                      <c:pt idx="111">
                        <c:v>42596</c:v>
                      </c:pt>
                      <c:pt idx="112">
                        <c:v>42597</c:v>
                      </c:pt>
                      <c:pt idx="113">
                        <c:v>42598</c:v>
                      </c:pt>
                      <c:pt idx="114">
                        <c:v>42599</c:v>
                      </c:pt>
                      <c:pt idx="115">
                        <c:v>42600</c:v>
                      </c:pt>
                      <c:pt idx="116">
                        <c:v>42601</c:v>
                      </c:pt>
                      <c:pt idx="117">
                        <c:v>42602</c:v>
                      </c:pt>
                      <c:pt idx="118">
                        <c:v>42603</c:v>
                      </c:pt>
                      <c:pt idx="119">
                        <c:v>42604</c:v>
                      </c:pt>
                      <c:pt idx="120">
                        <c:v>42605</c:v>
                      </c:pt>
                      <c:pt idx="121">
                        <c:v>42606</c:v>
                      </c:pt>
                      <c:pt idx="122">
                        <c:v>42607</c:v>
                      </c:pt>
                      <c:pt idx="123">
                        <c:v>42608</c:v>
                      </c:pt>
                      <c:pt idx="124">
                        <c:v>42609</c:v>
                      </c:pt>
                      <c:pt idx="125">
                        <c:v>42610</c:v>
                      </c:pt>
                      <c:pt idx="126">
                        <c:v>42611</c:v>
                      </c:pt>
                      <c:pt idx="127">
                        <c:v>42612</c:v>
                      </c:pt>
                      <c:pt idx="128">
                        <c:v>42613</c:v>
                      </c:pt>
                      <c:pt idx="129">
                        <c:v>42614</c:v>
                      </c:pt>
                      <c:pt idx="130">
                        <c:v>42615</c:v>
                      </c:pt>
                      <c:pt idx="131">
                        <c:v>42616</c:v>
                      </c:pt>
                      <c:pt idx="132">
                        <c:v>42617</c:v>
                      </c:pt>
                      <c:pt idx="133">
                        <c:v>42618</c:v>
                      </c:pt>
                      <c:pt idx="134">
                        <c:v>42619</c:v>
                      </c:pt>
                      <c:pt idx="135">
                        <c:v>42620</c:v>
                      </c:pt>
                      <c:pt idx="136">
                        <c:v>42621</c:v>
                      </c:pt>
                      <c:pt idx="137">
                        <c:v>42622</c:v>
                      </c:pt>
                      <c:pt idx="138">
                        <c:v>42623</c:v>
                      </c:pt>
                      <c:pt idx="139">
                        <c:v>42624</c:v>
                      </c:pt>
                      <c:pt idx="140">
                        <c:v>42625</c:v>
                      </c:pt>
                      <c:pt idx="141">
                        <c:v>42626</c:v>
                      </c:pt>
                      <c:pt idx="142">
                        <c:v>42627</c:v>
                      </c:pt>
                      <c:pt idx="143">
                        <c:v>42628</c:v>
                      </c:pt>
                      <c:pt idx="144">
                        <c:v>42629</c:v>
                      </c:pt>
                      <c:pt idx="145">
                        <c:v>42630</c:v>
                      </c:pt>
                      <c:pt idx="146">
                        <c:v>42631</c:v>
                      </c:pt>
                      <c:pt idx="147">
                        <c:v>42632</c:v>
                      </c:pt>
                      <c:pt idx="148">
                        <c:v>42633</c:v>
                      </c:pt>
                      <c:pt idx="149">
                        <c:v>42634</c:v>
                      </c:pt>
                      <c:pt idx="150">
                        <c:v>42635</c:v>
                      </c:pt>
                      <c:pt idx="151">
                        <c:v>42636</c:v>
                      </c:pt>
                      <c:pt idx="152">
                        <c:v>42637</c:v>
                      </c:pt>
                      <c:pt idx="153">
                        <c:v>42638</c:v>
                      </c:pt>
                      <c:pt idx="154">
                        <c:v>42639</c:v>
                      </c:pt>
                      <c:pt idx="155">
                        <c:v>42640</c:v>
                      </c:pt>
                      <c:pt idx="156">
                        <c:v>42641</c:v>
                      </c:pt>
                      <c:pt idx="157">
                        <c:v>42642</c:v>
                      </c:pt>
                      <c:pt idx="158">
                        <c:v>42643</c:v>
                      </c:pt>
                      <c:pt idx="159">
                        <c:v>42644</c:v>
                      </c:pt>
                      <c:pt idx="160">
                        <c:v>42645</c:v>
                      </c:pt>
                      <c:pt idx="161">
                        <c:v>42646</c:v>
                      </c:pt>
                      <c:pt idx="162">
                        <c:v>42647</c:v>
                      </c:pt>
                      <c:pt idx="163">
                        <c:v>42648</c:v>
                      </c:pt>
                      <c:pt idx="164">
                        <c:v>42649</c:v>
                      </c:pt>
                      <c:pt idx="165">
                        <c:v>42650</c:v>
                      </c:pt>
                      <c:pt idx="166">
                        <c:v>42651</c:v>
                      </c:pt>
                      <c:pt idx="167">
                        <c:v>42652</c:v>
                      </c:pt>
                      <c:pt idx="168">
                        <c:v>42653</c:v>
                      </c:pt>
                      <c:pt idx="169">
                        <c:v>42654</c:v>
                      </c:pt>
                      <c:pt idx="170">
                        <c:v>42655</c:v>
                      </c:pt>
                      <c:pt idx="171">
                        <c:v>42656</c:v>
                      </c:pt>
                      <c:pt idx="172">
                        <c:v>42657</c:v>
                      </c:pt>
                      <c:pt idx="173">
                        <c:v>42658</c:v>
                      </c:pt>
                      <c:pt idx="174">
                        <c:v>42659</c:v>
                      </c:pt>
                      <c:pt idx="175">
                        <c:v>42660</c:v>
                      </c:pt>
                      <c:pt idx="176">
                        <c:v>42661</c:v>
                      </c:pt>
                      <c:pt idx="177">
                        <c:v>42662</c:v>
                      </c:pt>
                      <c:pt idx="178">
                        <c:v>42663</c:v>
                      </c:pt>
                      <c:pt idx="179">
                        <c:v>42664</c:v>
                      </c:pt>
                      <c:pt idx="180">
                        <c:v>42665</c:v>
                      </c:pt>
                      <c:pt idx="181">
                        <c:v>42666</c:v>
                      </c:pt>
                      <c:pt idx="182">
                        <c:v>42667</c:v>
                      </c:pt>
                      <c:pt idx="183">
                        <c:v>42668</c:v>
                      </c:pt>
                      <c:pt idx="184">
                        <c:v>42669</c:v>
                      </c:pt>
                      <c:pt idx="185">
                        <c:v>42670</c:v>
                      </c:pt>
                      <c:pt idx="186">
                        <c:v>42671</c:v>
                      </c:pt>
                      <c:pt idx="187">
                        <c:v>42672</c:v>
                      </c:pt>
                      <c:pt idx="188">
                        <c:v>42673</c:v>
                      </c:pt>
                      <c:pt idx="189">
                        <c:v>42674</c:v>
                      </c:pt>
                      <c:pt idx="190">
                        <c:v>42675</c:v>
                      </c:pt>
                      <c:pt idx="191">
                        <c:v>42676</c:v>
                      </c:pt>
                      <c:pt idx="192">
                        <c:v>42677</c:v>
                      </c:pt>
                      <c:pt idx="193">
                        <c:v>42678</c:v>
                      </c:pt>
                      <c:pt idx="194">
                        <c:v>42679</c:v>
                      </c:pt>
                      <c:pt idx="195">
                        <c:v>42680</c:v>
                      </c:pt>
                      <c:pt idx="196">
                        <c:v>42681</c:v>
                      </c:pt>
                      <c:pt idx="197">
                        <c:v>42682</c:v>
                      </c:pt>
                      <c:pt idx="198">
                        <c:v>42683</c:v>
                      </c:pt>
                      <c:pt idx="199">
                        <c:v>42684</c:v>
                      </c:pt>
                      <c:pt idx="200">
                        <c:v>42685</c:v>
                      </c:pt>
                      <c:pt idx="201">
                        <c:v>42686</c:v>
                      </c:pt>
                      <c:pt idx="202">
                        <c:v>42687</c:v>
                      </c:pt>
                      <c:pt idx="203">
                        <c:v>42688</c:v>
                      </c:pt>
                      <c:pt idx="204">
                        <c:v>42689</c:v>
                      </c:pt>
                      <c:pt idx="205">
                        <c:v>42690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基データ!$F$2:$F$207</c15:sqref>
                        </c15:formulaRef>
                      </c:ext>
                    </c:extLst>
                    <c:numCache>
                      <c:formatCode>General</c:formatCode>
                      <c:ptCount val="206"/>
                      <c:pt idx="0">
                        <c:v>982</c:v>
                      </c:pt>
                      <c:pt idx="1">
                        <c:v>2574</c:v>
                      </c:pt>
                      <c:pt idx="2">
                        <c:v>1092</c:v>
                      </c:pt>
                      <c:pt idx="3">
                        <c:v>1516</c:v>
                      </c:pt>
                      <c:pt idx="4">
                        <c:v>1228</c:v>
                      </c:pt>
                      <c:pt idx="5">
                        <c:v>2150</c:v>
                      </c:pt>
                      <c:pt idx="6">
                        <c:v>3117</c:v>
                      </c:pt>
                      <c:pt idx="7">
                        <c:v>1432</c:v>
                      </c:pt>
                      <c:pt idx="8">
                        <c:v>1829</c:v>
                      </c:pt>
                      <c:pt idx="9">
                        <c:v>2022</c:v>
                      </c:pt>
                      <c:pt idx="10">
                        <c:v>2494</c:v>
                      </c:pt>
                      <c:pt idx="11">
                        <c:v>2680</c:v>
                      </c:pt>
                      <c:pt idx="12">
                        <c:v>1350</c:v>
                      </c:pt>
                      <c:pt idx="13">
                        <c:v>1656</c:v>
                      </c:pt>
                      <c:pt idx="14">
                        <c:v>3511</c:v>
                      </c:pt>
                      <c:pt idx="15">
                        <c:v>2093</c:v>
                      </c:pt>
                      <c:pt idx="16">
                        <c:v>1494</c:v>
                      </c:pt>
                      <c:pt idx="17">
                        <c:v>1996</c:v>
                      </c:pt>
                      <c:pt idx="18">
                        <c:v>2301</c:v>
                      </c:pt>
                      <c:pt idx="19">
                        <c:v>3487</c:v>
                      </c:pt>
                      <c:pt idx="20">
                        <c:v>1928</c:v>
                      </c:pt>
                      <c:pt idx="21">
                        <c:v>2984</c:v>
                      </c:pt>
                      <c:pt idx="22">
                        <c:v>3732</c:v>
                      </c:pt>
                      <c:pt idx="23">
                        <c:v>980</c:v>
                      </c:pt>
                      <c:pt idx="24">
                        <c:v>1601</c:v>
                      </c:pt>
                      <c:pt idx="25">
                        <c:v>2047</c:v>
                      </c:pt>
                      <c:pt idx="26">
                        <c:v>1565</c:v>
                      </c:pt>
                      <c:pt idx="27">
                        <c:v>1851</c:v>
                      </c:pt>
                      <c:pt idx="28">
                        <c:v>2960</c:v>
                      </c:pt>
                      <c:pt idx="29">
                        <c:v>1345</c:v>
                      </c:pt>
                      <c:pt idx="30">
                        <c:v>2067</c:v>
                      </c:pt>
                      <c:pt idx="31">
                        <c:v>1745</c:v>
                      </c:pt>
                      <c:pt idx="32">
                        <c:v>2141</c:v>
                      </c:pt>
                      <c:pt idx="33">
                        <c:v>2098</c:v>
                      </c:pt>
                      <c:pt idx="34">
                        <c:v>1468</c:v>
                      </c:pt>
                      <c:pt idx="35">
                        <c:v>1851</c:v>
                      </c:pt>
                      <c:pt idx="36">
                        <c:v>2724</c:v>
                      </c:pt>
                      <c:pt idx="37">
                        <c:v>2212</c:v>
                      </c:pt>
                      <c:pt idx="38">
                        <c:v>2396</c:v>
                      </c:pt>
                      <c:pt idx="39">
                        <c:v>3131</c:v>
                      </c:pt>
                      <c:pt idx="40">
                        <c:v>2436</c:v>
                      </c:pt>
                      <c:pt idx="41">
                        <c:v>2456</c:v>
                      </c:pt>
                      <c:pt idx="42">
                        <c:v>3089</c:v>
                      </c:pt>
                      <c:pt idx="43">
                        <c:v>1870</c:v>
                      </c:pt>
                      <c:pt idx="44">
                        <c:v>2009</c:v>
                      </c:pt>
                      <c:pt idx="45">
                        <c:v>2041</c:v>
                      </c:pt>
                      <c:pt idx="46">
                        <c:v>2374</c:v>
                      </c:pt>
                      <c:pt idx="47">
                        <c:v>2491</c:v>
                      </c:pt>
                      <c:pt idx="48">
                        <c:v>2137</c:v>
                      </c:pt>
                      <c:pt idx="49">
                        <c:v>2653</c:v>
                      </c:pt>
                      <c:pt idx="50">
                        <c:v>2440</c:v>
                      </c:pt>
                      <c:pt idx="51">
                        <c:v>1801</c:v>
                      </c:pt>
                      <c:pt idx="52">
                        <c:v>1933</c:v>
                      </c:pt>
                      <c:pt idx="53">
                        <c:v>2738</c:v>
                      </c:pt>
                      <c:pt idx="54">
                        <c:v>1908</c:v>
                      </c:pt>
                      <c:pt idx="55">
                        <c:v>2213</c:v>
                      </c:pt>
                      <c:pt idx="56">
                        <c:v>2114</c:v>
                      </c:pt>
                      <c:pt idx="57">
                        <c:v>2229</c:v>
                      </c:pt>
                      <c:pt idx="58">
                        <c:v>2193</c:v>
                      </c:pt>
                      <c:pt idx="59">
                        <c:v>2901</c:v>
                      </c:pt>
                      <c:pt idx="60">
                        <c:v>2324</c:v>
                      </c:pt>
                      <c:pt idx="61">
                        <c:v>2324</c:v>
                      </c:pt>
                      <c:pt idx="62">
                        <c:v>1733</c:v>
                      </c:pt>
                      <c:pt idx="63">
                        <c:v>2005</c:v>
                      </c:pt>
                      <c:pt idx="64">
                        <c:v>2186</c:v>
                      </c:pt>
                      <c:pt idx="65">
                        <c:v>2080</c:v>
                      </c:pt>
                      <c:pt idx="66">
                        <c:v>2162</c:v>
                      </c:pt>
                      <c:pt idx="67">
                        <c:v>3191</c:v>
                      </c:pt>
                      <c:pt idx="68">
                        <c:v>1784</c:v>
                      </c:pt>
                      <c:pt idx="69">
                        <c:v>1907</c:v>
                      </c:pt>
                      <c:pt idx="70">
                        <c:v>2450</c:v>
                      </c:pt>
                      <c:pt idx="71">
                        <c:v>2253</c:v>
                      </c:pt>
                      <c:pt idx="72">
                        <c:v>2350</c:v>
                      </c:pt>
                      <c:pt idx="73">
                        <c:v>1965</c:v>
                      </c:pt>
                      <c:pt idx="74">
                        <c:v>3945</c:v>
                      </c:pt>
                      <c:pt idx="75">
                        <c:v>2101</c:v>
                      </c:pt>
                      <c:pt idx="76">
                        <c:v>2520</c:v>
                      </c:pt>
                      <c:pt idx="77">
                        <c:v>2287</c:v>
                      </c:pt>
                      <c:pt idx="78">
                        <c:v>2255</c:v>
                      </c:pt>
                      <c:pt idx="79">
                        <c:v>2165</c:v>
                      </c:pt>
                      <c:pt idx="80">
                        <c:v>2305</c:v>
                      </c:pt>
                      <c:pt idx="81">
                        <c:v>2389</c:v>
                      </c:pt>
                      <c:pt idx="82">
                        <c:v>2008</c:v>
                      </c:pt>
                      <c:pt idx="83">
                        <c:v>2150</c:v>
                      </c:pt>
                      <c:pt idx="84">
                        <c:v>2060</c:v>
                      </c:pt>
                      <c:pt idx="85">
                        <c:v>2432</c:v>
                      </c:pt>
                      <c:pt idx="86">
                        <c:v>1861</c:v>
                      </c:pt>
                      <c:pt idx="87">
                        <c:v>2828</c:v>
                      </c:pt>
                      <c:pt idx="88">
                        <c:v>2722</c:v>
                      </c:pt>
                      <c:pt idx="89">
                        <c:v>1828</c:v>
                      </c:pt>
                      <c:pt idx="90">
                        <c:v>2768</c:v>
                      </c:pt>
                      <c:pt idx="91">
                        <c:v>2033</c:v>
                      </c:pt>
                      <c:pt idx="92">
                        <c:v>2539</c:v>
                      </c:pt>
                      <c:pt idx="93">
                        <c:v>2098</c:v>
                      </c:pt>
                      <c:pt idx="94">
                        <c:v>2033</c:v>
                      </c:pt>
                      <c:pt idx="95">
                        <c:v>2891</c:v>
                      </c:pt>
                      <c:pt idx="96">
                        <c:v>2172</c:v>
                      </c:pt>
                      <c:pt idx="97">
                        <c:v>1711</c:v>
                      </c:pt>
                      <c:pt idx="98">
                        <c:v>2163</c:v>
                      </c:pt>
                      <c:pt idx="99">
                        <c:v>2441</c:v>
                      </c:pt>
                      <c:pt idx="100">
                        <c:v>2103</c:v>
                      </c:pt>
                      <c:pt idx="101">
                        <c:v>3015</c:v>
                      </c:pt>
                      <c:pt idx="102">
                        <c:v>2953</c:v>
                      </c:pt>
                      <c:pt idx="103">
                        <c:v>2626</c:v>
                      </c:pt>
                      <c:pt idx="104">
                        <c:v>1871</c:v>
                      </c:pt>
                      <c:pt idx="105">
                        <c:v>2795</c:v>
                      </c:pt>
                      <c:pt idx="106">
                        <c:v>1945</c:v>
                      </c:pt>
                      <c:pt idx="107">
                        <c:v>2052</c:v>
                      </c:pt>
                      <c:pt idx="108">
                        <c:v>2750</c:v>
                      </c:pt>
                      <c:pt idx="109">
                        <c:v>2180</c:v>
                      </c:pt>
                      <c:pt idx="110">
                        <c:v>2426</c:v>
                      </c:pt>
                      <c:pt idx="111">
                        <c:v>2311</c:v>
                      </c:pt>
                      <c:pt idx="112">
                        <c:v>1965</c:v>
                      </c:pt>
                      <c:pt idx="113">
                        <c:v>2017</c:v>
                      </c:pt>
                      <c:pt idx="114">
                        <c:v>4778</c:v>
                      </c:pt>
                      <c:pt idx="115">
                        <c:v>1915</c:v>
                      </c:pt>
                      <c:pt idx="116">
                        <c:v>2448</c:v>
                      </c:pt>
                      <c:pt idx="117">
                        <c:v>1915</c:v>
                      </c:pt>
                      <c:pt idx="118">
                        <c:v>1939</c:v>
                      </c:pt>
                      <c:pt idx="119">
                        <c:v>2175</c:v>
                      </c:pt>
                      <c:pt idx="120">
                        <c:v>1984</c:v>
                      </c:pt>
                      <c:pt idx="121">
                        <c:v>2594</c:v>
                      </c:pt>
                      <c:pt idx="122">
                        <c:v>2538</c:v>
                      </c:pt>
                      <c:pt idx="123">
                        <c:v>2258</c:v>
                      </c:pt>
                      <c:pt idx="124">
                        <c:v>2142</c:v>
                      </c:pt>
                      <c:pt idx="125">
                        <c:v>1971</c:v>
                      </c:pt>
                      <c:pt idx="126">
                        <c:v>2285</c:v>
                      </c:pt>
                      <c:pt idx="127">
                        <c:v>2632</c:v>
                      </c:pt>
                      <c:pt idx="128">
                        <c:v>2001</c:v>
                      </c:pt>
                      <c:pt idx="129">
                        <c:v>2596</c:v>
                      </c:pt>
                      <c:pt idx="130">
                        <c:v>2413</c:v>
                      </c:pt>
                      <c:pt idx="131">
                        <c:v>2212</c:v>
                      </c:pt>
                      <c:pt idx="132">
                        <c:v>2441</c:v>
                      </c:pt>
                      <c:pt idx="133">
                        <c:v>2164</c:v>
                      </c:pt>
                      <c:pt idx="134">
                        <c:v>3026</c:v>
                      </c:pt>
                      <c:pt idx="135">
                        <c:v>2071</c:v>
                      </c:pt>
                      <c:pt idx="136">
                        <c:v>1896</c:v>
                      </c:pt>
                      <c:pt idx="137">
                        <c:v>1961</c:v>
                      </c:pt>
                      <c:pt idx="138">
                        <c:v>2229</c:v>
                      </c:pt>
                      <c:pt idx="139">
                        <c:v>1968</c:v>
                      </c:pt>
                      <c:pt idx="140">
                        <c:v>1884</c:v>
                      </c:pt>
                      <c:pt idx="141">
                        <c:v>1677</c:v>
                      </c:pt>
                      <c:pt idx="142">
                        <c:v>2260</c:v>
                      </c:pt>
                      <c:pt idx="143">
                        <c:v>2829</c:v>
                      </c:pt>
                      <c:pt idx="144">
                        <c:v>2093</c:v>
                      </c:pt>
                      <c:pt idx="145">
                        <c:v>2825</c:v>
                      </c:pt>
                      <c:pt idx="146">
                        <c:v>2157</c:v>
                      </c:pt>
                      <c:pt idx="147">
                        <c:v>2612</c:v>
                      </c:pt>
                      <c:pt idx="148">
                        <c:v>2572</c:v>
                      </c:pt>
                      <c:pt idx="149">
                        <c:v>2274</c:v>
                      </c:pt>
                      <c:pt idx="150">
                        <c:v>2126</c:v>
                      </c:pt>
                      <c:pt idx="151">
                        <c:v>2688</c:v>
                      </c:pt>
                      <c:pt idx="152">
                        <c:v>3106</c:v>
                      </c:pt>
                      <c:pt idx="153">
                        <c:v>2330</c:v>
                      </c:pt>
                      <c:pt idx="154">
                        <c:v>2562</c:v>
                      </c:pt>
                      <c:pt idx="155">
                        <c:v>2153</c:v>
                      </c:pt>
                      <c:pt idx="156">
                        <c:v>2204</c:v>
                      </c:pt>
                      <c:pt idx="157">
                        <c:v>2713</c:v>
                      </c:pt>
                      <c:pt idx="158">
                        <c:v>3711</c:v>
                      </c:pt>
                      <c:pt idx="159">
                        <c:v>1894</c:v>
                      </c:pt>
                      <c:pt idx="160">
                        <c:v>2169</c:v>
                      </c:pt>
                      <c:pt idx="161">
                        <c:v>3138</c:v>
                      </c:pt>
                      <c:pt idx="162">
                        <c:v>3071</c:v>
                      </c:pt>
                      <c:pt idx="163">
                        <c:v>2866</c:v>
                      </c:pt>
                      <c:pt idx="164">
                        <c:v>2266</c:v>
                      </c:pt>
                      <c:pt idx="165">
                        <c:v>4378</c:v>
                      </c:pt>
                      <c:pt idx="166">
                        <c:v>1793</c:v>
                      </c:pt>
                      <c:pt idx="167">
                        <c:v>2272</c:v>
                      </c:pt>
                      <c:pt idx="168">
                        <c:v>2183</c:v>
                      </c:pt>
                      <c:pt idx="169">
                        <c:v>2143</c:v>
                      </c:pt>
                      <c:pt idx="170">
                        <c:v>2959</c:v>
                      </c:pt>
                      <c:pt idx="171">
                        <c:v>2028</c:v>
                      </c:pt>
                      <c:pt idx="172">
                        <c:v>2381</c:v>
                      </c:pt>
                      <c:pt idx="173">
                        <c:v>1976</c:v>
                      </c:pt>
                      <c:pt idx="174">
                        <c:v>2015</c:v>
                      </c:pt>
                      <c:pt idx="175">
                        <c:v>2026</c:v>
                      </c:pt>
                      <c:pt idx="176">
                        <c:v>2453</c:v>
                      </c:pt>
                      <c:pt idx="177">
                        <c:v>2012</c:v>
                      </c:pt>
                      <c:pt idx="178">
                        <c:v>3097</c:v>
                      </c:pt>
                      <c:pt idx="179">
                        <c:v>2995</c:v>
                      </c:pt>
                      <c:pt idx="180">
                        <c:v>1918</c:v>
                      </c:pt>
                      <c:pt idx="181">
                        <c:v>3232</c:v>
                      </c:pt>
                      <c:pt idx="182">
                        <c:v>2206</c:v>
                      </c:pt>
                      <c:pt idx="183">
                        <c:v>2854</c:v>
                      </c:pt>
                      <c:pt idx="184">
                        <c:v>2435</c:v>
                      </c:pt>
                      <c:pt idx="185">
                        <c:v>2624</c:v>
                      </c:pt>
                      <c:pt idx="186">
                        <c:v>2184</c:v>
                      </c:pt>
                      <c:pt idx="187">
                        <c:v>2128</c:v>
                      </c:pt>
                      <c:pt idx="188">
                        <c:v>2443</c:v>
                      </c:pt>
                      <c:pt idx="189">
                        <c:v>2237</c:v>
                      </c:pt>
                      <c:pt idx="190">
                        <c:v>2351</c:v>
                      </c:pt>
                      <c:pt idx="191">
                        <c:v>2896</c:v>
                      </c:pt>
                      <c:pt idx="192">
                        <c:v>1737</c:v>
                      </c:pt>
                      <c:pt idx="193">
                        <c:v>3264</c:v>
                      </c:pt>
                      <c:pt idx="194">
                        <c:v>2503</c:v>
                      </c:pt>
                      <c:pt idx="195">
                        <c:v>2218</c:v>
                      </c:pt>
                      <c:pt idx="196">
                        <c:v>2761</c:v>
                      </c:pt>
                      <c:pt idx="197">
                        <c:v>2155</c:v>
                      </c:pt>
                      <c:pt idx="198">
                        <c:v>2924</c:v>
                      </c:pt>
                      <c:pt idx="199">
                        <c:v>2824</c:v>
                      </c:pt>
                      <c:pt idx="200">
                        <c:v>2198</c:v>
                      </c:pt>
                      <c:pt idx="201">
                        <c:v>1667</c:v>
                      </c:pt>
                      <c:pt idx="202">
                        <c:v>2271</c:v>
                      </c:pt>
                      <c:pt idx="203">
                        <c:v>2106</c:v>
                      </c:pt>
                      <c:pt idx="204">
                        <c:v>3399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32D-460E-94FE-4B217C0334F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基データ!$G$1</c15:sqref>
                        </c15:formulaRef>
                      </c:ext>
                    </c:extLst>
                    <c:strCache>
                      <c:ptCount val="1"/>
                      <c:pt idx="0">
                        <c:v>(内、アルコール）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solidFill>
                      <a:srgbClr val="FF99FF"/>
                    </a:solidFill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基データ!$A$2:$A$207</c15:sqref>
                        </c15:formulaRef>
                      </c:ext>
                    </c:extLst>
                    <c:numCache>
                      <c:formatCode>m"月"d"日"</c:formatCode>
                      <c:ptCount val="206"/>
                      <c:pt idx="0">
                        <c:v>42485</c:v>
                      </c:pt>
                      <c:pt idx="1">
                        <c:v>42486</c:v>
                      </c:pt>
                      <c:pt idx="2">
                        <c:v>42487</c:v>
                      </c:pt>
                      <c:pt idx="3">
                        <c:v>42488</c:v>
                      </c:pt>
                      <c:pt idx="4">
                        <c:v>42489</c:v>
                      </c:pt>
                      <c:pt idx="5">
                        <c:v>42490</c:v>
                      </c:pt>
                      <c:pt idx="6">
                        <c:v>42491</c:v>
                      </c:pt>
                      <c:pt idx="7">
                        <c:v>42492</c:v>
                      </c:pt>
                      <c:pt idx="8">
                        <c:v>42493</c:v>
                      </c:pt>
                      <c:pt idx="9">
                        <c:v>42494</c:v>
                      </c:pt>
                      <c:pt idx="10">
                        <c:v>42495</c:v>
                      </c:pt>
                      <c:pt idx="11">
                        <c:v>42496</c:v>
                      </c:pt>
                      <c:pt idx="12">
                        <c:v>42497</c:v>
                      </c:pt>
                      <c:pt idx="13">
                        <c:v>42498</c:v>
                      </c:pt>
                      <c:pt idx="14">
                        <c:v>42499</c:v>
                      </c:pt>
                      <c:pt idx="15">
                        <c:v>42500</c:v>
                      </c:pt>
                      <c:pt idx="16">
                        <c:v>42501</c:v>
                      </c:pt>
                      <c:pt idx="17">
                        <c:v>42502</c:v>
                      </c:pt>
                      <c:pt idx="18">
                        <c:v>42503</c:v>
                      </c:pt>
                      <c:pt idx="19">
                        <c:v>42504</c:v>
                      </c:pt>
                      <c:pt idx="20">
                        <c:v>42505</c:v>
                      </c:pt>
                      <c:pt idx="21">
                        <c:v>42506</c:v>
                      </c:pt>
                      <c:pt idx="22">
                        <c:v>42507</c:v>
                      </c:pt>
                      <c:pt idx="23">
                        <c:v>42508</c:v>
                      </c:pt>
                      <c:pt idx="24">
                        <c:v>42509</c:v>
                      </c:pt>
                      <c:pt idx="25">
                        <c:v>42510</c:v>
                      </c:pt>
                      <c:pt idx="26">
                        <c:v>42511</c:v>
                      </c:pt>
                      <c:pt idx="27">
                        <c:v>42512</c:v>
                      </c:pt>
                      <c:pt idx="28">
                        <c:v>42513</c:v>
                      </c:pt>
                      <c:pt idx="29">
                        <c:v>42514</c:v>
                      </c:pt>
                      <c:pt idx="30">
                        <c:v>42515</c:v>
                      </c:pt>
                      <c:pt idx="31">
                        <c:v>42516</c:v>
                      </c:pt>
                      <c:pt idx="32">
                        <c:v>42517</c:v>
                      </c:pt>
                      <c:pt idx="33">
                        <c:v>42518</c:v>
                      </c:pt>
                      <c:pt idx="34">
                        <c:v>42519</c:v>
                      </c:pt>
                      <c:pt idx="35">
                        <c:v>42520</c:v>
                      </c:pt>
                      <c:pt idx="36">
                        <c:v>42521</c:v>
                      </c:pt>
                      <c:pt idx="37">
                        <c:v>42522</c:v>
                      </c:pt>
                      <c:pt idx="38">
                        <c:v>42523</c:v>
                      </c:pt>
                      <c:pt idx="39">
                        <c:v>42524</c:v>
                      </c:pt>
                      <c:pt idx="40">
                        <c:v>42525</c:v>
                      </c:pt>
                      <c:pt idx="41">
                        <c:v>42526</c:v>
                      </c:pt>
                      <c:pt idx="42">
                        <c:v>42527</c:v>
                      </c:pt>
                      <c:pt idx="43">
                        <c:v>42528</c:v>
                      </c:pt>
                      <c:pt idx="44">
                        <c:v>42529</c:v>
                      </c:pt>
                      <c:pt idx="45">
                        <c:v>42530</c:v>
                      </c:pt>
                      <c:pt idx="46">
                        <c:v>42531</c:v>
                      </c:pt>
                      <c:pt idx="47">
                        <c:v>42532</c:v>
                      </c:pt>
                      <c:pt idx="48">
                        <c:v>42533</c:v>
                      </c:pt>
                      <c:pt idx="49">
                        <c:v>42534</c:v>
                      </c:pt>
                      <c:pt idx="50">
                        <c:v>42535</c:v>
                      </c:pt>
                      <c:pt idx="51">
                        <c:v>42536</c:v>
                      </c:pt>
                      <c:pt idx="52">
                        <c:v>42537</c:v>
                      </c:pt>
                      <c:pt idx="53">
                        <c:v>42538</c:v>
                      </c:pt>
                      <c:pt idx="54">
                        <c:v>42539</c:v>
                      </c:pt>
                      <c:pt idx="55">
                        <c:v>42540</c:v>
                      </c:pt>
                      <c:pt idx="56">
                        <c:v>42541</c:v>
                      </c:pt>
                      <c:pt idx="57">
                        <c:v>42542</c:v>
                      </c:pt>
                      <c:pt idx="58">
                        <c:v>42543</c:v>
                      </c:pt>
                      <c:pt idx="59">
                        <c:v>42544</c:v>
                      </c:pt>
                      <c:pt idx="60">
                        <c:v>42545</c:v>
                      </c:pt>
                      <c:pt idx="61">
                        <c:v>42546</c:v>
                      </c:pt>
                      <c:pt idx="62">
                        <c:v>42547</c:v>
                      </c:pt>
                      <c:pt idx="63">
                        <c:v>42548</c:v>
                      </c:pt>
                      <c:pt idx="64">
                        <c:v>42549</c:v>
                      </c:pt>
                      <c:pt idx="65">
                        <c:v>42550</c:v>
                      </c:pt>
                      <c:pt idx="66">
                        <c:v>42551</c:v>
                      </c:pt>
                      <c:pt idx="67">
                        <c:v>42552</c:v>
                      </c:pt>
                      <c:pt idx="68">
                        <c:v>42553</c:v>
                      </c:pt>
                      <c:pt idx="69">
                        <c:v>42554</c:v>
                      </c:pt>
                      <c:pt idx="70">
                        <c:v>42555</c:v>
                      </c:pt>
                      <c:pt idx="71">
                        <c:v>42556</c:v>
                      </c:pt>
                      <c:pt idx="72">
                        <c:v>42557</c:v>
                      </c:pt>
                      <c:pt idx="73">
                        <c:v>42558</c:v>
                      </c:pt>
                      <c:pt idx="74">
                        <c:v>42559</c:v>
                      </c:pt>
                      <c:pt idx="75">
                        <c:v>42560</c:v>
                      </c:pt>
                      <c:pt idx="76">
                        <c:v>42561</c:v>
                      </c:pt>
                      <c:pt idx="77">
                        <c:v>42562</c:v>
                      </c:pt>
                      <c:pt idx="78">
                        <c:v>42563</c:v>
                      </c:pt>
                      <c:pt idx="79">
                        <c:v>42564</c:v>
                      </c:pt>
                      <c:pt idx="80">
                        <c:v>42565</c:v>
                      </c:pt>
                      <c:pt idx="81">
                        <c:v>42566</c:v>
                      </c:pt>
                      <c:pt idx="82">
                        <c:v>42567</c:v>
                      </c:pt>
                      <c:pt idx="83">
                        <c:v>42568</c:v>
                      </c:pt>
                      <c:pt idx="84">
                        <c:v>42569</c:v>
                      </c:pt>
                      <c:pt idx="85">
                        <c:v>42570</c:v>
                      </c:pt>
                      <c:pt idx="86">
                        <c:v>42571</c:v>
                      </c:pt>
                      <c:pt idx="87">
                        <c:v>42572</c:v>
                      </c:pt>
                      <c:pt idx="88">
                        <c:v>42573</c:v>
                      </c:pt>
                      <c:pt idx="89">
                        <c:v>42574</c:v>
                      </c:pt>
                      <c:pt idx="90">
                        <c:v>42575</c:v>
                      </c:pt>
                      <c:pt idx="91">
                        <c:v>42576</c:v>
                      </c:pt>
                      <c:pt idx="92">
                        <c:v>42577</c:v>
                      </c:pt>
                      <c:pt idx="93">
                        <c:v>42578</c:v>
                      </c:pt>
                      <c:pt idx="94">
                        <c:v>42579</c:v>
                      </c:pt>
                      <c:pt idx="95">
                        <c:v>42580</c:v>
                      </c:pt>
                      <c:pt idx="96">
                        <c:v>42581</c:v>
                      </c:pt>
                      <c:pt idx="97">
                        <c:v>42582</c:v>
                      </c:pt>
                      <c:pt idx="98">
                        <c:v>42583</c:v>
                      </c:pt>
                      <c:pt idx="99">
                        <c:v>42584</c:v>
                      </c:pt>
                      <c:pt idx="100">
                        <c:v>42585</c:v>
                      </c:pt>
                      <c:pt idx="101">
                        <c:v>42586</c:v>
                      </c:pt>
                      <c:pt idx="102">
                        <c:v>42587</c:v>
                      </c:pt>
                      <c:pt idx="103">
                        <c:v>42588</c:v>
                      </c:pt>
                      <c:pt idx="104">
                        <c:v>42589</c:v>
                      </c:pt>
                      <c:pt idx="105">
                        <c:v>42590</c:v>
                      </c:pt>
                      <c:pt idx="106">
                        <c:v>42591</c:v>
                      </c:pt>
                      <c:pt idx="107">
                        <c:v>42592</c:v>
                      </c:pt>
                      <c:pt idx="108">
                        <c:v>42593</c:v>
                      </c:pt>
                      <c:pt idx="109">
                        <c:v>42594</c:v>
                      </c:pt>
                      <c:pt idx="110">
                        <c:v>42595</c:v>
                      </c:pt>
                      <c:pt idx="111">
                        <c:v>42596</c:v>
                      </c:pt>
                      <c:pt idx="112">
                        <c:v>42597</c:v>
                      </c:pt>
                      <c:pt idx="113">
                        <c:v>42598</c:v>
                      </c:pt>
                      <c:pt idx="114">
                        <c:v>42599</c:v>
                      </c:pt>
                      <c:pt idx="115">
                        <c:v>42600</c:v>
                      </c:pt>
                      <c:pt idx="116">
                        <c:v>42601</c:v>
                      </c:pt>
                      <c:pt idx="117">
                        <c:v>42602</c:v>
                      </c:pt>
                      <c:pt idx="118">
                        <c:v>42603</c:v>
                      </c:pt>
                      <c:pt idx="119">
                        <c:v>42604</c:v>
                      </c:pt>
                      <c:pt idx="120">
                        <c:v>42605</c:v>
                      </c:pt>
                      <c:pt idx="121">
                        <c:v>42606</c:v>
                      </c:pt>
                      <c:pt idx="122">
                        <c:v>42607</c:v>
                      </c:pt>
                      <c:pt idx="123">
                        <c:v>42608</c:v>
                      </c:pt>
                      <c:pt idx="124">
                        <c:v>42609</c:v>
                      </c:pt>
                      <c:pt idx="125">
                        <c:v>42610</c:v>
                      </c:pt>
                      <c:pt idx="126">
                        <c:v>42611</c:v>
                      </c:pt>
                      <c:pt idx="127">
                        <c:v>42612</c:v>
                      </c:pt>
                      <c:pt idx="128">
                        <c:v>42613</c:v>
                      </c:pt>
                      <c:pt idx="129">
                        <c:v>42614</c:v>
                      </c:pt>
                      <c:pt idx="130">
                        <c:v>42615</c:v>
                      </c:pt>
                      <c:pt idx="131">
                        <c:v>42616</c:v>
                      </c:pt>
                      <c:pt idx="132">
                        <c:v>42617</c:v>
                      </c:pt>
                      <c:pt idx="133">
                        <c:v>42618</c:v>
                      </c:pt>
                      <c:pt idx="134">
                        <c:v>42619</c:v>
                      </c:pt>
                      <c:pt idx="135">
                        <c:v>42620</c:v>
                      </c:pt>
                      <c:pt idx="136">
                        <c:v>42621</c:v>
                      </c:pt>
                      <c:pt idx="137">
                        <c:v>42622</c:v>
                      </c:pt>
                      <c:pt idx="138">
                        <c:v>42623</c:v>
                      </c:pt>
                      <c:pt idx="139">
                        <c:v>42624</c:v>
                      </c:pt>
                      <c:pt idx="140">
                        <c:v>42625</c:v>
                      </c:pt>
                      <c:pt idx="141">
                        <c:v>42626</c:v>
                      </c:pt>
                      <c:pt idx="142">
                        <c:v>42627</c:v>
                      </c:pt>
                      <c:pt idx="143">
                        <c:v>42628</c:v>
                      </c:pt>
                      <c:pt idx="144">
                        <c:v>42629</c:v>
                      </c:pt>
                      <c:pt idx="145">
                        <c:v>42630</c:v>
                      </c:pt>
                      <c:pt idx="146">
                        <c:v>42631</c:v>
                      </c:pt>
                      <c:pt idx="147">
                        <c:v>42632</c:v>
                      </c:pt>
                      <c:pt idx="148">
                        <c:v>42633</c:v>
                      </c:pt>
                      <c:pt idx="149">
                        <c:v>42634</c:v>
                      </c:pt>
                      <c:pt idx="150">
                        <c:v>42635</c:v>
                      </c:pt>
                      <c:pt idx="151">
                        <c:v>42636</c:v>
                      </c:pt>
                      <c:pt idx="152">
                        <c:v>42637</c:v>
                      </c:pt>
                      <c:pt idx="153">
                        <c:v>42638</c:v>
                      </c:pt>
                      <c:pt idx="154">
                        <c:v>42639</c:v>
                      </c:pt>
                      <c:pt idx="155">
                        <c:v>42640</c:v>
                      </c:pt>
                      <c:pt idx="156">
                        <c:v>42641</c:v>
                      </c:pt>
                      <c:pt idx="157">
                        <c:v>42642</c:v>
                      </c:pt>
                      <c:pt idx="158">
                        <c:v>42643</c:v>
                      </c:pt>
                      <c:pt idx="159">
                        <c:v>42644</c:v>
                      </c:pt>
                      <c:pt idx="160">
                        <c:v>42645</c:v>
                      </c:pt>
                      <c:pt idx="161">
                        <c:v>42646</c:v>
                      </c:pt>
                      <c:pt idx="162">
                        <c:v>42647</c:v>
                      </c:pt>
                      <c:pt idx="163">
                        <c:v>42648</c:v>
                      </c:pt>
                      <c:pt idx="164">
                        <c:v>42649</c:v>
                      </c:pt>
                      <c:pt idx="165">
                        <c:v>42650</c:v>
                      </c:pt>
                      <c:pt idx="166">
                        <c:v>42651</c:v>
                      </c:pt>
                      <c:pt idx="167">
                        <c:v>42652</c:v>
                      </c:pt>
                      <c:pt idx="168">
                        <c:v>42653</c:v>
                      </c:pt>
                      <c:pt idx="169">
                        <c:v>42654</c:v>
                      </c:pt>
                      <c:pt idx="170">
                        <c:v>42655</c:v>
                      </c:pt>
                      <c:pt idx="171">
                        <c:v>42656</c:v>
                      </c:pt>
                      <c:pt idx="172">
                        <c:v>42657</c:v>
                      </c:pt>
                      <c:pt idx="173">
                        <c:v>42658</c:v>
                      </c:pt>
                      <c:pt idx="174">
                        <c:v>42659</c:v>
                      </c:pt>
                      <c:pt idx="175">
                        <c:v>42660</c:v>
                      </c:pt>
                      <c:pt idx="176">
                        <c:v>42661</c:v>
                      </c:pt>
                      <c:pt idx="177">
                        <c:v>42662</c:v>
                      </c:pt>
                      <c:pt idx="178">
                        <c:v>42663</c:v>
                      </c:pt>
                      <c:pt idx="179">
                        <c:v>42664</c:v>
                      </c:pt>
                      <c:pt idx="180">
                        <c:v>42665</c:v>
                      </c:pt>
                      <c:pt idx="181">
                        <c:v>42666</c:v>
                      </c:pt>
                      <c:pt idx="182">
                        <c:v>42667</c:v>
                      </c:pt>
                      <c:pt idx="183">
                        <c:v>42668</c:v>
                      </c:pt>
                      <c:pt idx="184">
                        <c:v>42669</c:v>
                      </c:pt>
                      <c:pt idx="185">
                        <c:v>42670</c:v>
                      </c:pt>
                      <c:pt idx="186">
                        <c:v>42671</c:v>
                      </c:pt>
                      <c:pt idx="187">
                        <c:v>42672</c:v>
                      </c:pt>
                      <c:pt idx="188">
                        <c:v>42673</c:v>
                      </c:pt>
                      <c:pt idx="189">
                        <c:v>42674</c:v>
                      </c:pt>
                      <c:pt idx="190">
                        <c:v>42675</c:v>
                      </c:pt>
                      <c:pt idx="191">
                        <c:v>42676</c:v>
                      </c:pt>
                      <c:pt idx="192">
                        <c:v>42677</c:v>
                      </c:pt>
                      <c:pt idx="193">
                        <c:v>42678</c:v>
                      </c:pt>
                      <c:pt idx="194">
                        <c:v>42679</c:v>
                      </c:pt>
                      <c:pt idx="195">
                        <c:v>42680</c:v>
                      </c:pt>
                      <c:pt idx="196">
                        <c:v>42681</c:v>
                      </c:pt>
                      <c:pt idx="197">
                        <c:v>42682</c:v>
                      </c:pt>
                      <c:pt idx="198">
                        <c:v>42683</c:v>
                      </c:pt>
                      <c:pt idx="199">
                        <c:v>42684</c:v>
                      </c:pt>
                      <c:pt idx="200">
                        <c:v>42685</c:v>
                      </c:pt>
                      <c:pt idx="201">
                        <c:v>42686</c:v>
                      </c:pt>
                      <c:pt idx="202">
                        <c:v>42687</c:v>
                      </c:pt>
                      <c:pt idx="203">
                        <c:v>42688</c:v>
                      </c:pt>
                      <c:pt idx="204">
                        <c:v>42689</c:v>
                      </c:pt>
                      <c:pt idx="205">
                        <c:v>42690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基データ!$G$2:$G$207</c15:sqref>
                        </c15:formulaRef>
                      </c:ext>
                    </c:extLst>
                    <c:numCache>
                      <c:formatCode>General</c:formatCode>
                      <c:ptCount val="206"/>
                      <c:pt idx="0">
                        <c:v>0</c:v>
                      </c:pt>
                      <c:pt idx="1">
                        <c:v>422</c:v>
                      </c:pt>
                      <c:pt idx="2">
                        <c:v>316</c:v>
                      </c:pt>
                      <c:pt idx="3">
                        <c:v>80</c:v>
                      </c:pt>
                      <c:pt idx="4">
                        <c:v>270</c:v>
                      </c:pt>
                      <c:pt idx="5">
                        <c:v>847</c:v>
                      </c:pt>
                      <c:pt idx="6">
                        <c:v>633</c:v>
                      </c:pt>
                      <c:pt idx="7">
                        <c:v>240</c:v>
                      </c:pt>
                      <c:pt idx="8">
                        <c:v>320</c:v>
                      </c:pt>
                      <c:pt idx="9">
                        <c:v>489</c:v>
                      </c:pt>
                      <c:pt idx="10">
                        <c:v>830</c:v>
                      </c:pt>
                      <c:pt idx="11">
                        <c:v>1567</c:v>
                      </c:pt>
                      <c:pt idx="12">
                        <c:v>608</c:v>
                      </c:pt>
                      <c:pt idx="13">
                        <c:v>612</c:v>
                      </c:pt>
                      <c:pt idx="14">
                        <c:v>1257</c:v>
                      </c:pt>
                      <c:pt idx="15">
                        <c:v>0</c:v>
                      </c:pt>
                      <c:pt idx="16">
                        <c:v>284</c:v>
                      </c:pt>
                      <c:pt idx="17">
                        <c:v>342</c:v>
                      </c:pt>
                      <c:pt idx="18">
                        <c:v>728</c:v>
                      </c:pt>
                      <c:pt idx="19">
                        <c:v>850</c:v>
                      </c:pt>
                      <c:pt idx="20">
                        <c:v>306</c:v>
                      </c:pt>
                      <c:pt idx="21">
                        <c:v>402</c:v>
                      </c:pt>
                      <c:pt idx="22">
                        <c:v>1194</c:v>
                      </c:pt>
                      <c:pt idx="23">
                        <c:v>306</c:v>
                      </c:pt>
                      <c:pt idx="24">
                        <c:v>426</c:v>
                      </c:pt>
                      <c:pt idx="25">
                        <c:v>830</c:v>
                      </c:pt>
                      <c:pt idx="26">
                        <c:v>408</c:v>
                      </c:pt>
                      <c:pt idx="27">
                        <c:v>683</c:v>
                      </c:pt>
                      <c:pt idx="28">
                        <c:v>1265</c:v>
                      </c:pt>
                      <c:pt idx="29">
                        <c:v>204</c:v>
                      </c:pt>
                      <c:pt idx="30">
                        <c:v>408</c:v>
                      </c:pt>
                      <c:pt idx="31">
                        <c:v>306</c:v>
                      </c:pt>
                      <c:pt idx="32">
                        <c:v>612</c:v>
                      </c:pt>
                      <c:pt idx="33">
                        <c:v>306</c:v>
                      </c:pt>
                      <c:pt idx="34">
                        <c:v>393</c:v>
                      </c:pt>
                      <c:pt idx="35">
                        <c:v>401</c:v>
                      </c:pt>
                      <c:pt idx="36">
                        <c:v>612</c:v>
                      </c:pt>
                      <c:pt idx="37">
                        <c:v>714</c:v>
                      </c:pt>
                      <c:pt idx="38">
                        <c:v>1412</c:v>
                      </c:pt>
                      <c:pt idx="39">
                        <c:v>1310</c:v>
                      </c:pt>
                      <c:pt idx="40">
                        <c:v>612</c:v>
                      </c:pt>
                      <c:pt idx="41">
                        <c:v>510</c:v>
                      </c:pt>
                      <c:pt idx="42">
                        <c:v>778</c:v>
                      </c:pt>
                      <c:pt idx="43">
                        <c:v>0</c:v>
                      </c:pt>
                      <c:pt idx="44">
                        <c:v>306</c:v>
                      </c:pt>
                      <c:pt idx="45">
                        <c:v>306</c:v>
                      </c:pt>
                      <c:pt idx="46">
                        <c:v>787</c:v>
                      </c:pt>
                      <c:pt idx="47">
                        <c:v>746</c:v>
                      </c:pt>
                      <c:pt idx="48">
                        <c:v>384</c:v>
                      </c:pt>
                      <c:pt idx="49">
                        <c:v>668</c:v>
                      </c:pt>
                      <c:pt idx="50">
                        <c:v>489</c:v>
                      </c:pt>
                      <c:pt idx="51">
                        <c:v>442</c:v>
                      </c:pt>
                      <c:pt idx="52">
                        <c:v>119</c:v>
                      </c:pt>
                      <c:pt idx="53">
                        <c:v>1322</c:v>
                      </c:pt>
                      <c:pt idx="54">
                        <c:v>357</c:v>
                      </c:pt>
                      <c:pt idx="55">
                        <c:v>430</c:v>
                      </c:pt>
                      <c:pt idx="56">
                        <c:v>365</c:v>
                      </c:pt>
                      <c:pt idx="57">
                        <c:v>378</c:v>
                      </c:pt>
                      <c:pt idx="58">
                        <c:v>357</c:v>
                      </c:pt>
                      <c:pt idx="59">
                        <c:v>1196</c:v>
                      </c:pt>
                      <c:pt idx="60">
                        <c:v>747</c:v>
                      </c:pt>
                      <c:pt idx="61">
                        <c:v>854</c:v>
                      </c:pt>
                      <c:pt idx="62">
                        <c:v>430</c:v>
                      </c:pt>
                      <c:pt idx="63">
                        <c:v>327</c:v>
                      </c:pt>
                      <c:pt idx="64">
                        <c:v>381</c:v>
                      </c:pt>
                      <c:pt idx="65">
                        <c:v>427</c:v>
                      </c:pt>
                      <c:pt idx="66">
                        <c:v>292</c:v>
                      </c:pt>
                      <c:pt idx="67">
                        <c:v>1428</c:v>
                      </c:pt>
                      <c:pt idx="68">
                        <c:v>669</c:v>
                      </c:pt>
                      <c:pt idx="69">
                        <c:v>384</c:v>
                      </c:pt>
                      <c:pt idx="70">
                        <c:v>538</c:v>
                      </c:pt>
                      <c:pt idx="71">
                        <c:v>653</c:v>
                      </c:pt>
                      <c:pt idx="72">
                        <c:v>791</c:v>
                      </c:pt>
                      <c:pt idx="73">
                        <c:v>357</c:v>
                      </c:pt>
                      <c:pt idx="74">
                        <c:v>984</c:v>
                      </c:pt>
                      <c:pt idx="75">
                        <c:v>622</c:v>
                      </c:pt>
                      <c:pt idx="76">
                        <c:v>378</c:v>
                      </c:pt>
                      <c:pt idx="77">
                        <c:v>676</c:v>
                      </c:pt>
                      <c:pt idx="78">
                        <c:v>606</c:v>
                      </c:pt>
                      <c:pt idx="79">
                        <c:v>346</c:v>
                      </c:pt>
                      <c:pt idx="80">
                        <c:v>412</c:v>
                      </c:pt>
                      <c:pt idx="81">
                        <c:v>446</c:v>
                      </c:pt>
                      <c:pt idx="82">
                        <c:v>384</c:v>
                      </c:pt>
                      <c:pt idx="83">
                        <c:v>254</c:v>
                      </c:pt>
                      <c:pt idx="84">
                        <c:v>595</c:v>
                      </c:pt>
                      <c:pt idx="85">
                        <c:v>669</c:v>
                      </c:pt>
                      <c:pt idx="86">
                        <c:v>788</c:v>
                      </c:pt>
                      <c:pt idx="87">
                        <c:v>1136</c:v>
                      </c:pt>
                      <c:pt idx="88">
                        <c:v>922</c:v>
                      </c:pt>
                      <c:pt idx="89">
                        <c:v>311</c:v>
                      </c:pt>
                      <c:pt idx="90">
                        <c:v>1402</c:v>
                      </c:pt>
                      <c:pt idx="91">
                        <c:v>219</c:v>
                      </c:pt>
                      <c:pt idx="92">
                        <c:v>790</c:v>
                      </c:pt>
                      <c:pt idx="93">
                        <c:v>275</c:v>
                      </c:pt>
                      <c:pt idx="94">
                        <c:v>386</c:v>
                      </c:pt>
                      <c:pt idx="95">
                        <c:v>1029</c:v>
                      </c:pt>
                      <c:pt idx="96">
                        <c:v>548</c:v>
                      </c:pt>
                      <c:pt idx="97">
                        <c:v>0</c:v>
                      </c:pt>
                      <c:pt idx="98">
                        <c:v>669</c:v>
                      </c:pt>
                      <c:pt idx="99">
                        <c:v>557</c:v>
                      </c:pt>
                      <c:pt idx="100">
                        <c:v>378</c:v>
                      </c:pt>
                      <c:pt idx="101">
                        <c:v>949</c:v>
                      </c:pt>
                      <c:pt idx="102">
                        <c:v>1067</c:v>
                      </c:pt>
                      <c:pt idx="103">
                        <c:v>1168</c:v>
                      </c:pt>
                      <c:pt idx="104">
                        <c:v>411</c:v>
                      </c:pt>
                      <c:pt idx="105">
                        <c:v>845</c:v>
                      </c:pt>
                      <c:pt idx="106">
                        <c:v>395</c:v>
                      </c:pt>
                      <c:pt idx="107">
                        <c:v>508</c:v>
                      </c:pt>
                      <c:pt idx="108">
                        <c:v>727</c:v>
                      </c:pt>
                      <c:pt idx="109">
                        <c:v>353</c:v>
                      </c:pt>
                      <c:pt idx="110">
                        <c:v>714</c:v>
                      </c:pt>
                      <c:pt idx="111">
                        <c:v>487</c:v>
                      </c:pt>
                      <c:pt idx="112">
                        <c:v>476</c:v>
                      </c:pt>
                      <c:pt idx="113">
                        <c:v>357</c:v>
                      </c:pt>
                      <c:pt idx="114">
                        <c:v>1736</c:v>
                      </c:pt>
                      <c:pt idx="115">
                        <c:v>322</c:v>
                      </c:pt>
                      <c:pt idx="116">
                        <c:v>595</c:v>
                      </c:pt>
                      <c:pt idx="117">
                        <c:v>607</c:v>
                      </c:pt>
                      <c:pt idx="118">
                        <c:v>606</c:v>
                      </c:pt>
                      <c:pt idx="119">
                        <c:v>688</c:v>
                      </c:pt>
                      <c:pt idx="120">
                        <c:v>457</c:v>
                      </c:pt>
                      <c:pt idx="121">
                        <c:v>1081</c:v>
                      </c:pt>
                      <c:pt idx="122">
                        <c:v>778</c:v>
                      </c:pt>
                      <c:pt idx="123">
                        <c:v>676</c:v>
                      </c:pt>
                      <c:pt idx="124">
                        <c:v>745</c:v>
                      </c:pt>
                      <c:pt idx="125">
                        <c:v>476</c:v>
                      </c:pt>
                      <c:pt idx="126">
                        <c:v>560</c:v>
                      </c:pt>
                      <c:pt idx="127">
                        <c:v>850</c:v>
                      </c:pt>
                      <c:pt idx="128">
                        <c:v>489</c:v>
                      </c:pt>
                      <c:pt idx="129">
                        <c:v>691</c:v>
                      </c:pt>
                      <c:pt idx="130">
                        <c:v>527</c:v>
                      </c:pt>
                      <c:pt idx="131">
                        <c:v>476</c:v>
                      </c:pt>
                      <c:pt idx="132">
                        <c:v>453</c:v>
                      </c:pt>
                      <c:pt idx="133">
                        <c:v>355</c:v>
                      </c:pt>
                      <c:pt idx="134">
                        <c:v>930</c:v>
                      </c:pt>
                      <c:pt idx="135">
                        <c:v>676</c:v>
                      </c:pt>
                      <c:pt idx="136">
                        <c:v>382</c:v>
                      </c:pt>
                      <c:pt idx="137">
                        <c:v>506</c:v>
                      </c:pt>
                      <c:pt idx="138">
                        <c:v>362</c:v>
                      </c:pt>
                      <c:pt idx="139">
                        <c:v>666</c:v>
                      </c:pt>
                      <c:pt idx="140">
                        <c:v>457</c:v>
                      </c:pt>
                      <c:pt idx="141">
                        <c:v>378</c:v>
                      </c:pt>
                      <c:pt idx="142">
                        <c:v>649</c:v>
                      </c:pt>
                      <c:pt idx="143">
                        <c:v>1026</c:v>
                      </c:pt>
                      <c:pt idx="144">
                        <c:v>835</c:v>
                      </c:pt>
                      <c:pt idx="145">
                        <c:v>1295</c:v>
                      </c:pt>
                      <c:pt idx="146">
                        <c:v>435</c:v>
                      </c:pt>
                      <c:pt idx="147">
                        <c:v>604</c:v>
                      </c:pt>
                      <c:pt idx="148">
                        <c:v>530</c:v>
                      </c:pt>
                      <c:pt idx="149">
                        <c:v>616</c:v>
                      </c:pt>
                      <c:pt idx="150">
                        <c:v>311</c:v>
                      </c:pt>
                      <c:pt idx="151">
                        <c:v>905</c:v>
                      </c:pt>
                      <c:pt idx="152">
                        <c:v>723</c:v>
                      </c:pt>
                      <c:pt idx="153">
                        <c:v>441</c:v>
                      </c:pt>
                      <c:pt idx="154">
                        <c:v>508</c:v>
                      </c:pt>
                      <c:pt idx="155">
                        <c:v>456</c:v>
                      </c:pt>
                      <c:pt idx="156">
                        <c:v>508</c:v>
                      </c:pt>
                      <c:pt idx="157">
                        <c:v>807</c:v>
                      </c:pt>
                      <c:pt idx="158">
                        <c:v>1602</c:v>
                      </c:pt>
                      <c:pt idx="159">
                        <c:v>676</c:v>
                      </c:pt>
                      <c:pt idx="160">
                        <c:v>596</c:v>
                      </c:pt>
                      <c:pt idx="161">
                        <c:v>747</c:v>
                      </c:pt>
                      <c:pt idx="162">
                        <c:v>706</c:v>
                      </c:pt>
                      <c:pt idx="163">
                        <c:v>735</c:v>
                      </c:pt>
                      <c:pt idx="164">
                        <c:v>776</c:v>
                      </c:pt>
                      <c:pt idx="165">
                        <c:v>2402</c:v>
                      </c:pt>
                      <c:pt idx="166">
                        <c:v>606</c:v>
                      </c:pt>
                      <c:pt idx="167">
                        <c:v>673</c:v>
                      </c:pt>
                      <c:pt idx="168">
                        <c:v>501</c:v>
                      </c:pt>
                      <c:pt idx="169">
                        <c:v>338</c:v>
                      </c:pt>
                      <c:pt idx="170">
                        <c:v>1470</c:v>
                      </c:pt>
                      <c:pt idx="171">
                        <c:v>413</c:v>
                      </c:pt>
                      <c:pt idx="172">
                        <c:v>730</c:v>
                      </c:pt>
                      <c:pt idx="173">
                        <c:v>457</c:v>
                      </c:pt>
                      <c:pt idx="174">
                        <c:v>457</c:v>
                      </c:pt>
                      <c:pt idx="175">
                        <c:v>369</c:v>
                      </c:pt>
                      <c:pt idx="176">
                        <c:v>601</c:v>
                      </c:pt>
                      <c:pt idx="177">
                        <c:v>467</c:v>
                      </c:pt>
                      <c:pt idx="178">
                        <c:v>1011</c:v>
                      </c:pt>
                      <c:pt idx="179">
                        <c:v>695</c:v>
                      </c:pt>
                      <c:pt idx="180">
                        <c:v>348</c:v>
                      </c:pt>
                      <c:pt idx="181">
                        <c:v>780</c:v>
                      </c:pt>
                      <c:pt idx="182">
                        <c:v>338</c:v>
                      </c:pt>
                      <c:pt idx="183">
                        <c:v>727</c:v>
                      </c:pt>
                      <c:pt idx="184">
                        <c:v>382</c:v>
                      </c:pt>
                      <c:pt idx="185">
                        <c:v>823</c:v>
                      </c:pt>
                      <c:pt idx="186">
                        <c:v>530</c:v>
                      </c:pt>
                      <c:pt idx="187">
                        <c:v>695</c:v>
                      </c:pt>
                      <c:pt idx="188">
                        <c:v>400</c:v>
                      </c:pt>
                      <c:pt idx="189">
                        <c:v>531</c:v>
                      </c:pt>
                      <c:pt idx="190">
                        <c:v>250</c:v>
                      </c:pt>
                      <c:pt idx="191">
                        <c:v>1258</c:v>
                      </c:pt>
                      <c:pt idx="192">
                        <c:v>435</c:v>
                      </c:pt>
                      <c:pt idx="193">
                        <c:v>1007</c:v>
                      </c:pt>
                      <c:pt idx="194">
                        <c:v>1193</c:v>
                      </c:pt>
                      <c:pt idx="195">
                        <c:v>474</c:v>
                      </c:pt>
                      <c:pt idx="196">
                        <c:v>660</c:v>
                      </c:pt>
                      <c:pt idx="197">
                        <c:v>294</c:v>
                      </c:pt>
                      <c:pt idx="198">
                        <c:v>909</c:v>
                      </c:pt>
                      <c:pt idx="199">
                        <c:v>860</c:v>
                      </c:pt>
                      <c:pt idx="200">
                        <c:v>830</c:v>
                      </c:pt>
                      <c:pt idx="201">
                        <c:v>507</c:v>
                      </c:pt>
                      <c:pt idx="202">
                        <c:v>540</c:v>
                      </c:pt>
                      <c:pt idx="203">
                        <c:v>389</c:v>
                      </c:pt>
                      <c:pt idx="204">
                        <c:v>1213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32D-460E-94FE-4B217C0334F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基データ!$B$1</c:f>
              <c:strCache>
                <c:ptCount val="1"/>
                <c:pt idx="0">
                  <c:v>朝体重(Kg)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基データ!$B$2:$B$207</c:f>
              <c:numCache>
                <c:formatCode>General</c:formatCode>
                <c:ptCount val="206"/>
                <c:pt idx="0">
                  <c:v>82.4</c:v>
                </c:pt>
                <c:pt idx="1">
                  <c:v>82.4</c:v>
                </c:pt>
                <c:pt idx="2">
                  <c:v>83</c:v>
                </c:pt>
                <c:pt idx="3">
                  <c:v>82.4</c:v>
                </c:pt>
                <c:pt idx="4">
                  <c:v>81.400000000000006</c:v>
                </c:pt>
                <c:pt idx="5">
                  <c:v>81.400000000000006</c:v>
                </c:pt>
                <c:pt idx="6">
                  <c:v>81.400000000000006</c:v>
                </c:pt>
                <c:pt idx="7">
                  <c:v>81.599999999999994</c:v>
                </c:pt>
                <c:pt idx="8">
                  <c:v>80.8</c:v>
                </c:pt>
                <c:pt idx="9">
                  <c:v>80.8</c:v>
                </c:pt>
                <c:pt idx="10">
                  <c:v>80.8</c:v>
                </c:pt>
                <c:pt idx="11">
                  <c:v>80.8</c:v>
                </c:pt>
                <c:pt idx="12">
                  <c:v>81.3</c:v>
                </c:pt>
                <c:pt idx="13">
                  <c:v>80.599999999999994</c:v>
                </c:pt>
                <c:pt idx="14">
                  <c:v>80.599999999999994</c:v>
                </c:pt>
                <c:pt idx="15">
                  <c:v>80.599999999999994</c:v>
                </c:pt>
                <c:pt idx="16">
                  <c:v>80.599999999999994</c:v>
                </c:pt>
                <c:pt idx="17">
                  <c:v>79.8</c:v>
                </c:pt>
                <c:pt idx="18">
                  <c:v>79.8</c:v>
                </c:pt>
                <c:pt idx="19">
                  <c:v>79.8</c:v>
                </c:pt>
                <c:pt idx="20">
                  <c:v>79.8</c:v>
                </c:pt>
                <c:pt idx="21">
                  <c:v>79.3</c:v>
                </c:pt>
                <c:pt idx="22">
                  <c:v>79.3</c:v>
                </c:pt>
                <c:pt idx="23">
                  <c:v>80.5</c:v>
                </c:pt>
                <c:pt idx="24">
                  <c:v>79.3</c:v>
                </c:pt>
                <c:pt idx="25">
                  <c:v>79.3</c:v>
                </c:pt>
                <c:pt idx="26">
                  <c:v>79.3</c:v>
                </c:pt>
                <c:pt idx="27">
                  <c:v>79</c:v>
                </c:pt>
                <c:pt idx="28">
                  <c:v>78.8</c:v>
                </c:pt>
                <c:pt idx="29">
                  <c:v>79.2</c:v>
                </c:pt>
                <c:pt idx="30">
                  <c:v>78.400000000000006</c:v>
                </c:pt>
                <c:pt idx="31">
                  <c:v>78.900000000000006</c:v>
                </c:pt>
                <c:pt idx="32">
                  <c:v>78.2</c:v>
                </c:pt>
                <c:pt idx="33">
                  <c:v>78.7</c:v>
                </c:pt>
                <c:pt idx="34">
                  <c:v>78.7</c:v>
                </c:pt>
                <c:pt idx="35">
                  <c:v>78.400000000000006</c:v>
                </c:pt>
                <c:pt idx="36">
                  <c:v>78.400000000000006</c:v>
                </c:pt>
                <c:pt idx="37">
                  <c:v>79.2</c:v>
                </c:pt>
                <c:pt idx="38">
                  <c:v>78.400000000000006</c:v>
                </c:pt>
                <c:pt idx="39">
                  <c:v>78.3</c:v>
                </c:pt>
                <c:pt idx="40">
                  <c:v>78.400000000000006</c:v>
                </c:pt>
                <c:pt idx="41">
                  <c:v>78.8</c:v>
                </c:pt>
                <c:pt idx="42">
                  <c:v>78.8</c:v>
                </c:pt>
                <c:pt idx="43">
                  <c:v>79.2</c:v>
                </c:pt>
                <c:pt idx="44">
                  <c:v>78.5</c:v>
                </c:pt>
                <c:pt idx="45">
                  <c:v>78.5</c:v>
                </c:pt>
                <c:pt idx="46">
                  <c:v>77.900000000000006</c:v>
                </c:pt>
                <c:pt idx="47">
                  <c:v>78.400000000000006</c:v>
                </c:pt>
                <c:pt idx="48">
                  <c:v>78.099999999999994</c:v>
                </c:pt>
                <c:pt idx="49">
                  <c:v>78.099999999999994</c:v>
                </c:pt>
                <c:pt idx="50">
                  <c:v>78.5</c:v>
                </c:pt>
                <c:pt idx="51">
                  <c:v>79</c:v>
                </c:pt>
                <c:pt idx="52">
                  <c:v>77.599999999999994</c:v>
                </c:pt>
                <c:pt idx="53">
                  <c:v>77.599999999999994</c:v>
                </c:pt>
                <c:pt idx="54">
                  <c:v>78.099999999999994</c:v>
                </c:pt>
                <c:pt idx="55">
                  <c:v>77.5</c:v>
                </c:pt>
                <c:pt idx="56">
                  <c:v>77</c:v>
                </c:pt>
                <c:pt idx="57">
                  <c:v>77</c:v>
                </c:pt>
                <c:pt idx="58">
                  <c:v>77</c:v>
                </c:pt>
                <c:pt idx="59">
                  <c:v>76.7</c:v>
                </c:pt>
                <c:pt idx="60">
                  <c:v>77.3</c:v>
                </c:pt>
                <c:pt idx="61">
                  <c:v>76.900000000000006</c:v>
                </c:pt>
                <c:pt idx="62">
                  <c:v>76.900000000000006</c:v>
                </c:pt>
                <c:pt idx="63">
                  <c:v>76.900000000000006</c:v>
                </c:pt>
                <c:pt idx="64">
                  <c:v>76.900000000000006</c:v>
                </c:pt>
                <c:pt idx="65">
                  <c:v>76.599999999999994</c:v>
                </c:pt>
                <c:pt idx="66">
                  <c:v>76.599999999999994</c:v>
                </c:pt>
                <c:pt idx="67">
                  <c:v>76.8</c:v>
                </c:pt>
                <c:pt idx="68">
                  <c:v>77.5</c:v>
                </c:pt>
                <c:pt idx="69">
                  <c:v>76.2</c:v>
                </c:pt>
                <c:pt idx="70">
                  <c:v>75.900000000000006</c:v>
                </c:pt>
                <c:pt idx="71">
                  <c:v>76.400000000000006</c:v>
                </c:pt>
                <c:pt idx="72">
                  <c:v>76.400000000000006</c:v>
                </c:pt>
                <c:pt idx="73">
                  <c:v>76.099999999999994</c:v>
                </c:pt>
                <c:pt idx="74">
                  <c:v>76.400000000000006</c:v>
                </c:pt>
                <c:pt idx="75">
                  <c:v>76.400000000000006</c:v>
                </c:pt>
                <c:pt idx="76">
                  <c:v>75.599999999999994</c:v>
                </c:pt>
                <c:pt idx="77">
                  <c:v>76.099999999999994</c:v>
                </c:pt>
                <c:pt idx="78">
                  <c:v>76.099999999999994</c:v>
                </c:pt>
                <c:pt idx="79">
                  <c:v>76.099999999999994</c:v>
                </c:pt>
                <c:pt idx="80">
                  <c:v>75.5</c:v>
                </c:pt>
                <c:pt idx="81">
                  <c:v>76</c:v>
                </c:pt>
                <c:pt idx="82">
                  <c:v>76</c:v>
                </c:pt>
                <c:pt idx="83">
                  <c:v>74.7</c:v>
                </c:pt>
                <c:pt idx="84">
                  <c:v>75.2</c:v>
                </c:pt>
                <c:pt idx="85">
                  <c:v>75.3</c:v>
                </c:pt>
                <c:pt idx="86">
                  <c:v>74.900000000000006</c:v>
                </c:pt>
                <c:pt idx="87">
                  <c:v>74.900000000000006</c:v>
                </c:pt>
                <c:pt idx="88">
                  <c:v>75.2</c:v>
                </c:pt>
                <c:pt idx="89">
                  <c:v>75.599999999999994</c:v>
                </c:pt>
                <c:pt idx="90">
                  <c:v>74.900000000000006</c:v>
                </c:pt>
                <c:pt idx="91">
                  <c:v>75.599999999999994</c:v>
                </c:pt>
                <c:pt idx="92">
                  <c:v>75.3</c:v>
                </c:pt>
                <c:pt idx="93">
                  <c:v>75.3</c:v>
                </c:pt>
                <c:pt idx="94">
                  <c:v>75.2</c:v>
                </c:pt>
                <c:pt idx="95">
                  <c:v>74.900000000000006</c:v>
                </c:pt>
                <c:pt idx="96">
                  <c:v>75.599999999999994</c:v>
                </c:pt>
                <c:pt idx="97">
                  <c:v>75.900000000000006</c:v>
                </c:pt>
                <c:pt idx="98">
                  <c:v>75.7</c:v>
                </c:pt>
                <c:pt idx="99">
                  <c:v>75.3</c:v>
                </c:pt>
                <c:pt idx="100">
                  <c:v>75.400000000000006</c:v>
                </c:pt>
                <c:pt idx="101">
                  <c:v>75.400000000000006</c:v>
                </c:pt>
                <c:pt idx="102">
                  <c:v>75.400000000000006</c:v>
                </c:pt>
                <c:pt idx="103">
                  <c:v>75.7</c:v>
                </c:pt>
                <c:pt idx="104">
                  <c:v>75.2</c:v>
                </c:pt>
                <c:pt idx="105">
                  <c:v>74.900000000000006</c:v>
                </c:pt>
                <c:pt idx="106">
                  <c:v>75.2</c:v>
                </c:pt>
                <c:pt idx="107">
                  <c:v>74.599999999999994</c:v>
                </c:pt>
                <c:pt idx="108">
                  <c:v>74.599999999999994</c:v>
                </c:pt>
                <c:pt idx="109">
                  <c:v>75.2</c:v>
                </c:pt>
                <c:pt idx="110">
                  <c:v>74.7</c:v>
                </c:pt>
                <c:pt idx="111">
                  <c:v>74.3</c:v>
                </c:pt>
                <c:pt idx="112">
                  <c:v>74.3</c:v>
                </c:pt>
                <c:pt idx="113">
                  <c:v>75.099999999999994</c:v>
                </c:pt>
                <c:pt idx="114">
                  <c:v>75.2</c:v>
                </c:pt>
                <c:pt idx="115">
                  <c:v>75.099999999999994</c:v>
                </c:pt>
                <c:pt idx="116">
                  <c:v>75.400000000000006</c:v>
                </c:pt>
                <c:pt idx="117">
                  <c:v>74.7</c:v>
                </c:pt>
                <c:pt idx="118">
                  <c:v>74.099999999999994</c:v>
                </c:pt>
                <c:pt idx="119">
                  <c:v>74.900000000000006</c:v>
                </c:pt>
                <c:pt idx="120">
                  <c:v>74.099999999999994</c:v>
                </c:pt>
                <c:pt idx="121">
                  <c:v>75</c:v>
                </c:pt>
                <c:pt idx="122">
                  <c:v>75</c:v>
                </c:pt>
                <c:pt idx="123">
                  <c:v>74.400000000000006</c:v>
                </c:pt>
                <c:pt idx="124">
                  <c:v>74.7</c:v>
                </c:pt>
                <c:pt idx="125">
                  <c:v>74.099999999999994</c:v>
                </c:pt>
                <c:pt idx="126">
                  <c:v>74.099999999999994</c:v>
                </c:pt>
                <c:pt idx="127">
                  <c:v>74.099999999999994</c:v>
                </c:pt>
                <c:pt idx="128">
                  <c:v>74.099999999999994</c:v>
                </c:pt>
                <c:pt idx="129">
                  <c:v>74.099999999999994</c:v>
                </c:pt>
                <c:pt idx="130">
                  <c:v>74.099999999999994</c:v>
                </c:pt>
                <c:pt idx="131">
                  <c:v>74.099999999999994</c:v>
                </c:pt>
                <c:pt idx="132">
                  <c:v>73.7</c:v>
                </c:pt>
                <c:pt idx="133">
                  <c:v>73.7</c:v>
                </c:pt>
                <c:pt idx="134">
                  <c:v>74</c:v>
                </c:pt>
                <c:pt idx="135">
                  <c:v>74.7</c:v>
                </c:pt>
                <c:pt idx="136">
                  <c:v>74.7</c:v>
                </c:pt>
                <c:pt idx="137">
                  <c:v>74.099999999999994</c:v>
                </c:pt>
                <c:pt idx="138">
                  <c:v>74.099999999999994</c:v>
                </c:pt>
                <c:pt idx="139">
                  <c:v>74.099999999999994</c:v>
                </c:pt>
                <c:pt idx="140">
                  <c:v>74.099999999999994</c:v>
                </c:pt>
                <c:pt idx="141">
                  <c:v>73.5</c:v>
                </c:pt>
                <c:pt idx="142">
                  <c:v>73.5</c:v>
                </c:pt>
                <c:pt idx="143">
                  <c:v>73.5</c:v>
                </c:pt>
                <c:pt idx="144">
                  <c:v>73.5</c:v>
                </c:pt>
                <c:pt idx="145">
                  <c:v>73.5</c:v>
                </c:pt>
                <c:pt idx="146">
                  <c:v>72.7</c:v>
                </c:pt>
                <c:pt idx="147">
                  <c:v>72.2</c:v>
                </c:pt>
                <c:pt idx="148">
                  <c:v>73</c:v>
                </c:pt>
                <c:pt idx="149">
                  <c:v>74.2</c:v>
                </c:pt>
                <c:pt idx="150">
                  <c:v>74.3</c:v>
                </c:pt>
                <c:pt idx="151">
                  <c:v>72.400000000000006</c:v>
                </c:pt>
                <c:pt idx="152">
                  <c:v>73.5</c:v>
                </c:pt>
                <c:pt idx="153">
                  <c:v>72.900000000000006</c:v>
                </c:pt>
                <c:pt idx="154">
                  <c:v>73.400000000000006</c:v>
                </c:pt>
                <c:pt idx="155">
                  <c:v>73.400000000000006</c:v>
                </c:pt>
                <c:pt idx="156">
                  <c:v>73.8</c:v>
                </c:pt>
                <c:pt idx="157">
                  <c:v>73.5</c:v>
                </c:pt>
                <c:pt idx="158">
                  <c:v>74.099999999999994</c:v>
                </c:pt>
                <c:pt idx="159">
                  <c:v>73.5</c:v>
                </c:pt>
                <c:pt idx="160">
                  <c:v>73.8</c:v>
                </c:pt>
                <c:pt idx="161">
                  <c:v>73.599999999999994</c:v>
                </c:pt>
                <c:pt idx="162">
                  <c:v>73.599999999999994</c:v>
                </c:pt>
                <c:pt idx="163">
                  <c:v>73.599999999999994</c:v>
                </c:pt>
                <c:pt idx="164">
                  <c:v>73.900000000000006</c:v>
                </c:pt>
                <c:pt idx="165">
                  <c:v>74.099999999999994</c:v>
                </c:pt>
                <c:pt idx="166">
                  <c:v>74.099999999999994</c:v>
                </c:pt>
                <c:pt idx="167">
                  <c:v>73.599999999999994</c:v>
                </c:pt>
                <c:pt idx="168">
                  <c:v>73.400000000000006</c:v>
                </c:pt>
                <c:pt idx="169">
                  <c:v>73.5</c:v>
                </c:pt>
                <c:pt idx="170">
                  <c:v>74</c:v>
                </c:pt>
                <c:pt idx="171">
                  <c:v>73.400000000000006</c:v>
                </c:pt>
                <c:pt idx="172">
                  <c:v>73.099999999999994</c:v>
                </c:pt>
                <c:pt idx="173">
                  <c:v>74.400000000000006</c:v>
                </c:pt>
                <c:pt idx="174">
                  <c:v>74.3</c:v>
                </c:pt>
                <c:pt idx="175">
                  <c:v>73.599999999999994</c:v>
                </c:pt>
                <c:pt idx="176">
                  <c:v>73.8</c:v>
                </c:pt>
                <c:pt idx="177">
                  <c:v>74.3</c:v>
                </c:pt>
                <c:pt idx="178">
                  <c:v>73.8</c:v>
                </c:pt>
                <c:pt idx="179">
                  <c:v>74.3</c:v>
                </c:pt>
                <c:pt idx="180">
                  <c:v>74.5</c:v>
                </c:pt>
                <c:pt idx="181">
                  <c:v>73.3</c:v>
                </c:pt>
                <c:pt idx="182">
                  <c:v>73.7</c:v>
                </c:pt>
                <c:pt idx="183">
                  <c:v>74.2</c:v>
                </c:pt>
                <c:pt idx="184">
                  <c:v>73.900000000000006</c:v>
                </c:pt>
                <c:pt idx="185">
                  <c:v>74</c:v>
                </c:pt>
                <c:pt idx="186">
                  <c:v>74</c:v>
                </c:pt>
                <c:pt idx="187">
                  <c:v>74.2</c:v>
                </c:pt>
                <c:pt idx="188">
                  <c:v>74.599999999999994</c:v>
                </c:pt>
                <c:pt idx="189">
                  <c:v>74.3</c:v>
                </c:pt>
                <c:pt idx="190">
                  <c:v>74.2</c:v>
                </c:pt>
                <c:pt idx="191">
                  <c:v>74.2</c:v>
                </c:pt>
                <c:pt idx="192">
                  <c:v>74.900000000000006</c:v>
                </c:pt>
                <c:pt idx="193">
                  <c:v>74</c:v>
                </c:pt>
                <c:pt idx="194">
                  <c:v>75.3</c:v>
                </c:pt>
                <c:pt idx="195">
                  <c:v>74.3</c:v>
                </c:pt>
                <c:pt idx="196">
                  <c:v>73.2</c:v>
                </c:pt>
                <c:pt idx="197">
                  <c:v>74.3</c:v>
                </c:pt>
                <c:pt idx="198">
                  <c:v>73.900000000000006</c:v>
                </c:pt>
                <c:pt idx="199">
                  <c:v>74.2</c:v>
                </c:pt>
                <c:pt idx="200">
                  <c:v>75.099999999999994</c:v>
                </c:pt>
                <c:pt idx="201">
                  <c:v>74.099999999999994</c:v>
                </c:pt>
                <c:pt idx="202">
                  <c:v>73.7</c:v>
                </c:pt>
                <c:pt idx="203">
                  <c:v>74.099999999999994</c:v>
                </c:pt>
                <c:pt idx="204">
                  <c:v>73.7</c:v>
                </c:pt>
                <c:pt idx="205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7-4E80-9695-0EF3F187C3E5}"/>
            </c:ext>
          </c:extLst>
        </c:ser>
        <c:ser>
          <c:idx val="1"/>
          <c:order val="1"/>
          <c:tx>
            <c:strRef>
              <c:f>基データ!$C$1</c:f>
              <c:strCache>
                <c:ptCount val="1"/>
                <c:pt idx="0">
                  <c:v>施術後(Kg)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基データ!$C$2:$C$207</c:f>
              <c:numCache>
                <c:formatCode>General</c:formatCode>
                <c:ptCount val="206"/>
                <c:pt idx="0">
                  <c:v>82.2</c:v>
                </c:pt>
                <c:pt idx="3">
                  <c:v>81.599999999999994</c:v>
                </c:pt>
                <c:pt idx="7">
                  <c:v>80.8</c:v>
                </c:pt>
                <c:pt idx="12">
                  <c:v>80.2</c:v>
                </c:pt>
                <c:pt idx="16">
                  <c:v>79.5</c:v>
                </c:pt>
                <c:pt idx="17">
                  <c:v>79.2</c:v>
                </c:pt>
                <c:pt idx="20">
                  <c:v>79</c:v>
                </c:pt>
                <c:pt idx="23">
                  <c:v>79</c:v>
                </c:pt>
                <c:pt idx="26">
                  <c:v>78.5</c:v>
                </c:pt>
                <c:pt idx="30">
                  <c:v>78</c:v>
                </c:pt>
                <c:pt idx="33">
                  <c:v>78.2</c:v>
                </c:pt>
                <c:pt idx="37">
                  <c:v>77.7</c:v>
                </c:pt>
                <c:pt idx="40">
                  <c:v>77.2</c:v>
                </c:pt>
                <c:pt idx="44">
                  <c:v>77.5</c:v>
                </c:pt>
                <c:pt idx="48">
                  <c:v>77.2</c:v>
                </c:pt>
                <c:pt idx="51">
                  <c:v>77.5</c:v>
                </c:pt>
                <c:pt idx="55">
                  <c:v>76.8</c:v>
                </c:pt>
                <c:pt idx="58">
                  <c:v>76.599999999999994</c:v>
                </c:pt>
                <c:pt idx="61">
                  <c:v>76.099999999999994</c:v>
                </c:pt>
                <c:pt idx="65">
                  <c:v>75.900000000000006</c:v>
                </c:pt>
                <c:pt idx="69">
                  <c:v>75.2</c:v>
                </c:pt>
                <c:pt idx="73">
                  <c:v>75.599999999999994</c:v>
                </c:pt>
                <c:pt idx="75">
                  <c:v>75.5</c:v>
                </c:pt>
                <c:pt idx="79">
                  <c:v>74.900000000000006</c:v>
                </c:pt>
                <c:pt idx="82">
                  <c:v>75.2</c:v>
                </c:pt>
                <c:pt idx="86">
                  <c:v>74.3</c:v>
                </c:pt>
                <c:pt idx="89">
                  <c:v>74.7</c:v>
                </c:pt>
                <c:pt idx="93">
                  <c:v>75</c:v>
                </c:pt>
                <c:pt idx="96">
                  <c:v>73.900000000000006</c:v>
                </c:pt>
                <c:pt idx="104">
                  <c:v>73.599999999999994</c:v>
                </c:pt>
                <c:pt idx="107">
                  <c:v>73.5</c:v>
                </c:pt>
                <c:pt idx="110">
                  <c:v>73.2</c:v>
                </c:pt>
                <c:pt idx="117">
                  <c:v>73.7</c:v>
                </c:pt>
                <c:pt idx="124">
                  <c:v>73.900000000000006</c:v>
                </c:pt>
                <c:pt idx="131">
                  <c:v>72.8</c:v>
                </c:pt>
                <c:pt idx="138">
                  <c:v>73</c:v>
                </c:pt>
                <c:pt idx="146">
                  <c:v>72.2</c:v>
                </c:pt>
                <c:pt idx="150">
                  <c:v>73.900000000000006</c:v>
                </c:pt>
                <c:pt idx="153">
                  <c:v>72.900000000000006</c:v>
                </c:pt>
                <c:pt idx="159">
                  <c:v>73.599999999999994</c:v>
                </c:pt>
                <c:pt idx="166">
                  <c:v>73.599999999999994</c:v>
                </c:pt>
                <c:pt idx="168">
                  <c:v>73.900000000000006</c:v>
                </c:pt>
                <c:pt idx="173">
                  <c:v>74</c:v>
                </c:pt>
                <c:pt idx="180">
                  <c:v>73.599999999999994</c:v>
                </c:pt>
                <c:pt idx="187">
                  <c:v>74.2</c:v>
                </c:pt>
                <c:pt idx="191">
                  <c:v>74.099999999999994</c:v>
                </c:pt>
                <c:pt idx="195">
                  <c:v>73.8</c:v>
                </c:pt>
                <c:pt idx="19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7-4E80-9695-0EF3F187C3E5}"/>
            </c:ext>
          </c:extLst>
        </c:ser>
        <c:ser>
          <c:idx val="2"/>
          <c:order val="2"/>
          <c:tx>
            <c:strRef>
              <c:f>基データ!$D$1</c:f>
              <c:strCache>
                <c:ptCount val="1"/>
                <c:pt idx="0">
                  <c:v>平均体重(Kg)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FF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基データ!$A$2:$A$207</c:f>
              <c:numCache>
                <c:formatCode>m"月"d"日"</c:formatCode>
                <c:ptCount val="206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  <c:pt idx="199">
                  <c:v>42684</c:v>
                </c:pt>
                <c:pt idx="200">
                  <c:v>42685</c:v>
                </c:pt>
                <c:pt idx="201">
                  <c:v>42686</c:v>
                </c:pt>
                <c:pt idx="202">
                  <c:v>42687</c:v>
                </c:pt>
                <c:pt idx="203">
                  <c:v>42688</c:v>
                </c:pt>
                <c:pt idx="204">
                  <c:v>42689</c:v>
                </c:pt>
                <c:pt idx="205">
                  <c:v>42690</c:v>
                </c:pt>
              </c:numCache>
            </c:numRef>
          </c:cat>
          <c:val>
            <c:numRef>
              <c:f>基データ!$D$2:$D$207</c:f>
              <c:numCache>
                <c:formatCode>General</c:formatCode>
                <c:ptCount val="206"/>
                <c:pt idx="0">
                  <c:v>82.300000000000011</c:v>
                </c:pt>
                <c:pt idx="1">
                  <c:v>82.4</c:v>
                </c:pt>
                <c:pt idx="2">
                  <c:v>83</c:v>
                </c:pt>
                <c:pt idx="3">
                  <c:v>82</c:v>
                </c:pt>
                <c:pt idx="4">
                  <c:v>81.400000000000006</c:v>
                </c:pt>
                <c:pt idx="5">
                  <c:v>81.400000000000006</c:v>
                </c:pt>
                <c:pt idx="6">
                  <c:v>81.400000000000006</c:v>
                </c:pt>
                <c:pt idx="7">
                  <c:v>81.199999999999989</c:v>
                </c:pt>
                <c:pt idx="8">
                  <c:v>80.8</c:v>
                </c:pt>
                <c:pt idx="9">
                  <c:v>80.8</c:v>
                </c:pt>
                <c:pt idx="10">
                  <c:v>80.8</c:v>
                </c:pt>
                <c:pt idx="11">
                  <c:v>80.8</c:v>
                </c:pt>
                <c:pt idx="12">
                  <c:v>80.75</c:v>
                </c:pt>
                <c:pt idx="13">
                  <c:v>80.599999999999994</c:v>
                </c:pt>
                <c:pt idx="14">
                  <c:v>80.599999999999994</c:v>
                </c:pt>
                <c:pt idx="15">
                  <c:v>80.599999999999994</c:v>
                </c:pt>
                <c:pt idx="16">
                  <c:v>80.05</c:v>
                </c:pt>
                <c:pt idx="17">
                  <c:v>79.5</c:v>
                </c:pt>
                <c:pt idx="18">
                  <c:v>79.8</c:v>
                </c:pt>
                <c:pt idx="19">
                  <c:v>79.8</c:v>
                </c:pt>
                <c:pt idx="20">
                  <c:v>79.400000000000006</c:v>
                </c:pt>
                <c:pt idx="21">
                  <c:v>79.3</c:v>
                </c:pt>
                <c:pt idx="22">
                  <c:v>79.3</c:v>
                </c:pt>
                <c:pt idx="23">
                  <c:v>79.75</c:v>
                </c:pt>
                <c:pt idx="24">
                  <c:v>79.3</c:v>
                </c:pt>
                <c:pt idx="25">
                  <c:v>79.3</c:v>
                </c:pt>
                <c:pt idx="26">
                  <c:v>78.900000000000006</c:v>
                </c:pt>
                <c:pt idx="27">
                  <c:v>79</c:v>
                </c:pt>
                <c:pt idx="28">
                  <c:v>78.8</c:v>
                </c:pt>
                <c:pt idx="29">
                  <c:v>79.2</c:v>
                </c:pt>
                <c:pt idx="30">
                  <c:v>78.2</c:v>
                </c:pt>
                <c:pt idx="31">
                  <c:v>78.900000000000006</c:v>
                </c:pt>
                <c:pt idx="32">
                  <c:v>78.2</c:v>
                </c:pt>
                <c:pt idx="33">
                  <c:v>78.45</c:v>
                </c:pt>
                <c:pt idx="34">
                  <c:v>78.7</c:v>
                </c:pt>
                <c:pt idx="35">
                  <c:v>78.400000000000006</c:v>
                </c:pt>
                <c:pt idx="36">
                  <c:v>78.400000000000006</c:v>
                </c:pt>
                <c:pt idx="37">
                  <c:v>78.45</c:v>
                </c:pt>
                <c:pt idx="38">
                  <c:v>78.400000000000006</c:v>
                </c:pt>
                <c:pt idx="39">
                  <c:v>78.3</c:v>
                </c:pt>
                <c:pt idx="40">
                  <c:v>77.800000000000011</c:v>
                </c:pt>
                <c:pt idx="41">
                  <c:v>78.8</c:v>
                </c:pt>
                <c:pt idx="42">
                  <c:v>78.8</c:v>
                </c:pt>
                <c:pt idx="43">
                  <c:v>79.2</c:v>
                </c:pt>
                <c:pt idx="44">
                  <c:v>78</c:v>
                </c:pt>
                <c:pt idx="45">
                  <c:v>78.5</c:v>
                </c:pt>
                <c:pt idx="46">
                  <c:v>77.900000000000006</c:v>
                </c:pt>
                <c:pt idx="47">
                  <c:v>78.400000000000006</c:v>
                </c:pt>
                <c:pt idx="48">
                  <c:v>77.650000000000006</c:v>
                </c:pt>
                <c:pt idx="49">
                  <c:v>78.099999999999994</c:v>
                </c:pt>
                <c:pt idx="50">
                  <c:v>78.5</c:v>
                </c:pt>
                <c:pt idx="51">
                  <c:v>78.25</c:v>
                </c:pt>
                <c:pt idx="52">
                  <c:v>77.599999999999994</c:v>
                </c:pt>
                <c:pt idx="53">
                  <c:v>77.599999999999994</c:v>
                </c:pt>
                <c:pt idx="54">
                  <c:v>78.099999999999994</c:v>
                </c:pt>
                <c:pt idx="55">
                  <c:v>77.150000000000006</c:v>
                </c:pt>
                <c:pt idx="56">
                  <c:v>77</c:v>
                </c:pt>
                <c:pt idx="57">
                  <c:v>77</c:v>
                </c:pt>
                <c:pt idx="58">
                  <c:v>76.8</c:v>
                </c:pt>
                <c:pt idx="59">
                  <c:v>76.7</c:v>
                </c:pt>
                <c:pt idx="60">
                  <c:v>77.3</c:v>
                </c:pt>
                <c:pt idx="61">
                  <c:v>76.5</c:v>
                </c:pt>
                <c:pt idx="62">
                  <c:v>76.900000000000006</c:v>
                </c:pt>
                <c:pt idx="63">
                  <c:v>76.900000000000006</c:v>
                </c:pt>
                <c:pt idx="64">
                  <c:v>76.900000000000006</c:v>
                </c:pt>
                <c:pt idx="65">
                  <c:v>76.25</c:v>
                </c:pt>
                <c:pt idx="66">
                  <c:v>76.599999999999994</c:v>
                </c:pt>
                <c:pt idx="67">
                  <c:v>76.8</c:v>
                </c:pt>
                <c:pt idx="68">
                  <c:v>77.5</c:v>
                </c:pt>
                <c:pt idx="69">
                  <c:v>75.7</c:v>
                </c:pt>
                <c:pt idx="70">
                  <c:v>75.900000000000006</c:v>
                </c:pt>
                <c:pt idx="71">
                  <c:v>76.400000000000006</c:v>
                </c:pt>
                <c:pt idx="72">
                  <c:v>76.400000000000006</c:v>
                </c:pt>
                <c:pt idx="73">
                  <c:v>75.849999999999994</c:v>
                </c:pt>
                <c:pt idx="74">
                  <c:v>76.400000000000006</c:v>
                </c:pt>
                <c:pt idx="75">
                  <c:v>75.95</c:v>
                </c:pt>
                <c:pt idx="76">
                  <c:v>75.599999999999994</c:v>
                </c:pt>
                <c:pt idx="77">
                  <c:v>76.099999999999994</c:v>
                </c:pt>
                <c:pt idx="78">
                  <c:v>76.099999999999994</c:v>
                </c:pt>
                <c:pt idx="79">
                  <c:v>75.5</c:v>
                </c:pt>
                <c:pt idx="80">
                  <c:v>75.5</c:v>
                </c:pt>
                <c:pt idx="81">
                  <c:v>76</c:v>
                </c:pt>
                <c:pt idx="82">
                  <c:v>75.599999999999994</c:v>
                </c:pt>
                <c:pt idx="83">
                  <c:v>74.7</c:v>
                </c:pt>
                <c:pt idx="84">
                  <c:v>75.2</c:v>
                </c:pt>
                <c:pt idx="85">
                  <c:v>75.3</c:v>
                </c:pt>
                <c:pt idx="86">
                  <c:v>74.599999999999994</c:v>
                </c:pt>
                <c:pt idx="87">
                  <c:v>74.900000000000006</c:v>
                </c:pt>
                <c:pt idx="88">
                  <c:v>75.2</c:v>
                </c:pt>
                <c:pt idx="89">
                  <c:v>75.150000000000006</c:v>
                </c:pt>
                <c:pt idx="90">
                  <c:v>74.900000000000006</c:v>
                </c:pt>
                <c:pt idx="91">
                  <c:v>75.599999999999994</c:v>
                </c:pt>
                <c:pt idx="92">
                  <c:v>75.3</c:v>
                </c:pt>
                <c:pt idx="93">
                  <c:v>75.150000000000006</c:v>
                </c:pt>
                <c:pt idx="94">
                  <c:v>75.2</c:v>
                </c:pt>
                <c:pt idx="95">
                  <c:v>74.900000000000006</c:v>
                </c:pt>
                <c:pt idx="96">
                  <c:v>74.75</c:v>
                </c:pt>
                <c:pt idx="97">
                  <c:v>75.900000000000006</c:v>
                </c:pt>
                <c:pt idx="98">
                  <c:v>75.7</c:v>
                </c:pt>
                <c:pt idx="99">
                  <c:v>75.3</c:v>
                </c:pt>
                <c:pt idx="100">
                  <c:v>75.400000000000006</c:v>
                </c:pt>
                <c:pt idx="101">
                  <c:v>75.400000000000006</c:v>
                </c:pt>
                <c:pt idx="102">
                  <c:v>75.400000000000006</c:v>
                </c:pt>
                <c:pt idx="103">
                  <c:v>75.7</c:v>
                </c:pt>
                <c:pt idx="104">
                  <c:v>74.400000000000006</c:v>
                </c:pt>
                <c:pt idx="105">
                  <c:v>74.900000000000006</c:v>
                </c:pt>
                <c:pt idx="106">
                  <c:v>75.2</c:v>
                </c:pt>
                <c:pt idx="107">
                  <c:v>74.05</c:v>
                </c:pt>
                <c:pt idx="108">
                  <c:v>74.599999999999994</c:v>
                </c:pt>
                <c:pt idx="109">
                  <c:v>75.2</c:v>
                </c:pt>
                <c:pt idx="110">
                  <c:v>73.95</c:v>
                </c:pt>
                <c:pt idx="111">
                  <c:v>74.3</c:v>
                </c:pt>
                <c:pt idx="112">
                  <c:v>74.3</c:v>
                </c:pt>
                <c:pt idx="113">
                  <c:v>75.099999999999994</c:v>
                </c:pt>
                <c:pt idx="114">
                  <c:v>75.2</c:v>
                </c:pt>
                <c:pt idx="115">
                  <c:v>75.099999999999994</c:v>
                </c:pt>
                <c:pt idx="116">
                  <c:v>75.400000000000006</c:v>
                </c:pt>
                <c:pt idx="117">
                  <c:v>74.2</c:v>
                </c:pt>
                <c:pt idx="118">
                  <c:v>74.099999999999994</c:v>
                </c:pt>
                <c:pt idx="119">
                  <c:v>74.900000000000006</c:v>
                </c:pt>
                <c:pt idx="120">
                  <c:v>74.099999999999994</c:v>
                </c:pt>
                <c:pt idx="121">
                  <c:v>75</c:v>
                </c:pt>
                <c:pt idx="122">
                  <c:v>75</c:v>
                </c:pt>
                <c:pt idx="123">
                  <c:v>74.400000000000006</c:v>
                </c:pt>
                <c:pt idx="124">
                  <c:v>74.300000000000011</c:v>
                </c:pt>
                <c:pt idx="125">
                  <c:v>74.099999999999994</c:v>
                </c:pt>
                <c:pt idx="126">
                  <c:v>74.099999999999994</c:v>
                </c:pt>
                <c:pt idx="127">
                  <c:v>74.099999999999994</c:v>
                </c:pt>
                <c:pt idx="128">
                  <c:v>74.099999999999994</c:v>
                </c:pt>
                <c:pt idx="129">
                  <c:v>74.099999999999994</c:v>
                </c:pt>
                <c:pt idx="130">
                  <c:v>74.099999999999994</c:v>
                </c:pt>
                <c:pt idx="131">
                  <c:v>73.449999999999989</c:v>
                </c:pt>
                <c:pt idx="132">
                  <c:v>73.7</c:v>
                </c:pt>
                <c:pt idx="133">
                  <c:v>73.7</c:v>
                </c:pt>
                <c:pt idx="134">
                  <c:v>74</c:v>
                </c:pt>
                <c:pt idx="135">
                  <c:v>74.7</c:v>
                </c:pt>
                <c:pt idx="136">
                  <c:v>74.7</c:v>
                </c:pt>
                <c:pt idx="137">
                  <c:v>74.099999999999994</c:v>
                </c:pt>
                <c:pt idx="138">
                  <c:v>73.55</c:v>
                </c:pt>
                <c:pt idx="139">
                  <c:v>74.099999999999994</c:v>
                </c:pt>
                <c:pt idx="140">
                  <c:v>74.099999999999994</c:v>
                </c:pt>
                <c:pt idx="141">
                  <c:v>73.5</c:v>
                </c:pt>
                <c:pt idx="142">
                  <c:v>73.5</c:v>
                </c:pt>
                <c:pt idx="143">
                  <c:v>73.5</c:v>
                </c:pt>
                <c:pt idx="144">
                  <c:v>73.5</c:v>
                </c:pt>
                <c:pt idx="145">
                  <c:v>73.5</c:v>
                </c:pt>
                <c:pt idx="146">
                  <c:v>72.45</c:v>
                </c:pt>
                <c:pt idx="147">
                  <c:v>72.2</c:v>
                </c:pt>
                <c:pt idx="148">
                  <c:v>73</c:v>
                </c:pt>
                <c:pt idx="149">
                  <c:v>74.2</c:v>
                </c:pt>
                <c:pt idx="150">
                  <c:v>74.099999999999994</c:v>
                </c:pt>
                <c:pt idx="151">
                  <c:v>72.400000000000006</c:v>
                </c:pt>
                <c:pt idx="152">
                  <c:v>73.5</c:v>
                </c:pt>
                <c:pt idx="153">
                  <c:v>72.900000000000006</c:v>
                </c:pt>
                <c:pt idx="154">
                  <c:v>73.400000000000006</c:v>
                </c:pt>
                <c:pt idx="155">
                  <c:v>73.400000000000006</c:v>
                </c:pt>
                <c:pt idx="156">
                  <c:v>73.8</c:v>
                </c:pt>
                <c:pt idx="157">
                  <c:v>73.5</c:v>
                </c:pt>
                <c:pt idx="158">
                  <c:v>74.099999999999994</c:v>
                </c:pt>
                <c:pt idx="159">
                  <c:v>73.55</c:v>
                </c:pt>
                <c:pt idx="160">
                  <c:v>73.8</c:v>
                </c:pt>
                <c:pt idx="161">
                  <c:v>73.599999999999994</c:v>
                </c:pt>
                <c:pt idx="162">
                  <c:v>73.599999999999994</c:v>
                </c:pt>
                <c:pt idx="163">
                  <c:v>73.599999999999994</c:v>
                </c:pt>
                <c:pt idx="164">
                  <c:v>73.900000000000006</c:v>
                </c:pt>
                <c:pt idx="165">
                  <c:v>74.099999999999994</c:v>
                </c:pt>
                <c:pt idx="166">
                  <c:v>73.849999999999994</c:v>
                </c:pt>
                <c:pt idx="167">
                  <c:v>73.599999999999994</c:v>
                </c:pt>
                <c:pt idx="168">
                  <c:v>73.650000000000006</c:v>
                </c:pt>
                <c:pt idx="169">
                  <c:v>73.5</c:v>
                </c:pt>
                <c:pt idx="170">
                  <c:v>74</c:v>
                </c:pt>
                <c:pt idx="171">
                  <c:v>73.400000000000006</c:v>
                </c:pt>
                <c:pt idx="172">
                  <c:v>73.099999999999994</c:v>
                </c:pt>
                <c:pt idx="173">
                  <c:v>74.2</c:v>
                </c:pt>
                <c:pt idx="174">
                  <c:v>74.3</c:v>
                </c:pt>
                <c:pt idx="175">
                  <c:v>73.599999999999994</c:v>
                </c:pt>
                <c:pt idx="176">
                  <c:v>73.8</c:v>
                </c:pt>
                <c:pt idx="177">
                  <c:v>74.3</c:v>
                </c:pt>
                <c:pt idx="178">
                  <c:v>73.8</c:v>
                </c:pt>
                <c:pt idx="179">
                  <c:v>74.3</c:v>
                </c:pt>
                <c:pt idx="180">
                  <c:v>74.05</c:v>
                </c:pt>
                <c:pt idx="181">
                  <c:v>73.3</c:v>
                </c:pt>
                <c:pt idx="182">
                  <c:v>73.7</c:v>
                </c:pt>
                <c:pt idx="183">
                  <c:v>74.2</c:v>
                </c:pt>
                <c:pt idx="184">
                  <c:v>73.900000000000006</c:v>
                </c:pt>
                <c:pt idx="185">
                  <c:v>74</c:v>
                </c:pt>
                <c:pt idx="186">
                  <c:v>74</c:v>
                </c:pt>
                <c:pt idx="187">
                  <c:v>74.2</c:v>
                </c:pt>
                <c:pt idx="188">
                  <c:v>74.599999999999994</c:v>
                </c:pt>
                <c:pt idx="189">
                  <c:v>74.3</c:v>
                </c:pt>
                <c:pt idx="190">
                  <c:v>74.2</c:v>
                </c:pt>
                <c:pt idx="191">
                  <c:v>74.150000000000006</c:v>
                </c:pt>
                <c:pt idx="192">
                  <c:v>74.900000000000006</c:v>
                </c:pt>
                <c:pt idx="193">
                  <c:v>74</c:v>
                </c:pt>
                <c:pt idx="194">
                  <c:v>75.3</c:v>
                </c:pt>
                <c:pt idx="195">
                  <c:v>74.05</c:v>
                </c:pt>
                <c:pt idx="196">
                  <c:v>73.2</c:v>
                </c:pt>
                <c:pt idx="197">
                  <c:v>74.3</c:v>
                </c:pt>
                <c:pt idx="198">
                  <c:v>73.5</c:v>
                </c:pt>
                <c:pt idx="199">
                  <c:v>74.2</c:v>
                </c:pt>
                <c:pt idx="200">
                  <c:v>75.099999999999994</c:v>
                </c:pt>
                <c:pt idx="201">
                  <c:v>74.099999999999994</c:v>
                </c:pt>
                <c:pt idx="202">
                  <c:v>73.7</c:v>
                </c:pt>
                <c:pt idx="203">
                  <c:v>74.099999999999994</c:v>
                </c:pt>
                <c:pt idx="204">
                  <c:v>73.7</c:v>
                </c:pt>
                <c:pt idx="205">
                  <c:v>74.7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1D7-4E80-9695-0EF3F187C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1864"/>
        <c:axId val="171710296"/>
      </c:lineChart>
      <c:dateAx>
        <c:axId val="171711864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0296"/>
        <c:crosses val="autoZero"/>
        <c:auto val="1"/>
        <c:lblOffset val="100"/>
        <c:baseTimeUnit val="days"/>
        <c:majorUnit val="1"/>
        <c:majorTimeUnit val="days"/>
      </c:dateAx>
      <c:valAx>
        <c:axId val="171710296"/>
        <c:scaling>
          <c:orientation val="minMax"/>
          <c:max val="83"/>
          <c:min val="7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1864"/>
        <c:crosses val="autoZero"/>
        <c:crossBetween val="between"/>
        <c:majorUnit val="1"/>
      </c:valAx>
      <c:valAx>
        <c:axId val="171707944"/>
        <c:scaling>
          <c:orientation val="minMax"/>
          <c:max val="5500"/>
          <c:min val="0"/>
        </c:scaling>
        <c:delete val="0"/>
        <c:axPos val="r"/>
        <c:numFmt formatCode="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2648"/>
        <c:crosses val="max"/>
        <c:crossBetween val="between"/>
        <c:majorUnit val="500"/>
      </c:valAx>
      <c:dateAx>
        <c:axId val="171712648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17170794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858110822311839E-2"/>
          <c:y val="0.90493118939791695"/>
          <c:w val="0.79608003749282674"/>
          <c:h val="8.902733499007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棒</a:t>
            </a:r>
            <a:r>
              <a:rPr lang="en-US" altLang="ja-JP" sz="1400"/>
              <a:t>(</a:t>
            </a:r>
            <a:r>
              <a:rPr lang="ja-JP" altLang="en-US" sz="1400"/>
              <a:t>左軸</a:t>
            </a:r>
            <a:r>
              <a:rPr lang="en-US" altLang="ja-JP" sz="1400"/>
              <a:t>)</a:t>
            </a:r>
            <a:r>
              <a:rPr lang="ja-JP" altLang="en-US" sz="1400"/>
              <a:t>：（摂取カロリー）ー（</a:t>
            </a:r>
            <a:r>
              <a:rPr lang="en-US" altLang="ja-JP" sz="1400"/>
              <a:t>70Kg</a:t>
            </a:r>
            <a:r>
              <a:rPr lang="ja-JP" altLang="en-US" sz="1400"/>
              <a:t>時</a:t>
            </a:r>
            <a:r>
              <a:rPr lang="ja-JP" altLang="ja-JP" sz="1400" b="0" i="0" u="none" strike="noStrike" baseline="0">
                <a:effectLst/>
              </a:rPr>
              <a:t>活動レベル</a:t>
            </a:r>
            <a:r>
              <a:rPr lang="en-US" altLang="ja-JP" sz="1400" b="0" i="0" u="none" strike="noStrike" baseline="0">
                <a:effectLst/>
              </a:rPr>
              <a:t>Ⅰ</a:t>
            </a:r>
            <a:r>
              <a:rPr lang="ja-JP" altLang="en-US" sz="1400" b="0" i="0" u="none" strike="noStrike" baseline="0">
                <a:effectLst/>
              </a:rPr>
              <a:t>を目標時の摂取目標</a:t>
            </a:r>
            <a:r>
              <a:rPr lang="ja-JP" altLang="en-US" sz="1400"/>
              <a:t>＋運動消費）カロリーと、折れ線</a:t>
            </a:r>
            <a:r>
              <a:rPr lang="en-US" altLang="ja-JP" sz="1400"/>
              <a:t>(</a:t>
            </a:r>
            <a:r>
              <a:rPr lang="ja-JP" altLang="en-US" sz="1400"/>
              <a:t>右軸</a:t>
            </a:r>
            <a:r>
              <a:rPr lang="en-US" altLang="ja-JP" sz="1400"/>
              <a:t>)</a:t>
            </a:r>
            <a:r>
              <a:rPr lang="ja-JP" altLang="en-US" sz="1400"/>
              <a:t>：（翌朝体重増減の関係）</a:t>
            </a:r>
          </a:p>
        </c:rich>
      </c:tx>
      <c:layout>
        <c:manualLayout>
          <c:xMode val="edge"/>
          <c:yMode val="edge"/>
          <c:x val="0.22510514661166295"/>
          <c:y val="7.178049198654326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摂取カロリーと体重増減関係!$B$1</c:f>
              <c:strCache>
                <c:ptCount val="1"/>
                <c:pt idx="0">
                  <c:v>摂取目標カロリー差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摂取カロリーと体重増減関係!$A$2:$A$200</c:f>
              <c:numCache>
                <c:formatCode>m"月"d"日";@</c:formatCode>
                <c:ptCount val="199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</c:numCache>
            </c:numRef>
          </c:cat>
          <c:val>
            <c:numRef>
              <c:f>摂取カロリーと体重増減関係!$B$2:$B$200</c:f>
              <c:numCache>
                <c:formatCode>0.0_ </c:formatCode>
                <c:ptCount val="199"/>
                <c:pt idx="0">
                  <c:v>-1261.304347826087</c:v>
                </c:pt>
                <c:pt idx="1">
                  <c:v>198.695652173913</c:v>
                </c:pt>
                <c:pt idx="2">
                  <c:v>-1192.2795031055898</c:v>
                </c:pt>
                <c:pt idx="3">
                  <c:v>-1186.304347826087</c:v>
                </c:pt>
                <c:pt idx="4">
                  <c:v>-1092.3457556935819</c:v>
                </c:pt>
                <c:pt idx="5">
                  <c:v>-178.34575569358185</c:v>
                </c:pt>
                <c:pt idx="6">
                  <c:v>661.65424430641815</c:v>
                </c:pt>
                <c:pt idx="7">
                  <c:v>-967.33747412008279</c:v>
                </c:pt>
                <c:pt idx="8">
                  <c:v>-349.37060041407904</c:v>
                </c:pt>
                <c:pt idx="9">
                  <c:v>-927.37060041407904</c:v>
                </c:pt>
                <c:pt idx="10">
                  <c:v>-496.37060041407904</c:v>
                </c:pt>
                <c:pt idx="11">
                  <c:v>-38.370600414079036</c:v>
                </c:pt>
                <c:pt idx="12">
                  <c:v>-1297.3498964803316</c:v>
                </c:pt>
                <c:pt idx="13">
                  <c:v>-606.37888198757764</c:v>
                </c:pt>
                <c:pt idx="14">
                  <c:v>1131.6211180124224</c:v>
                </c:pt>
                <c:pt idx="15">
                  <c:v>-135.37888198757764</c:v>
                </c:pt>
                <c:pt idx="16">
                  <c:v>-831.37888198757764</c:v>
                </c:pt>
                <c:pt idx="17">
                  <c:v>-683.41200828157343</c:v>
                </c:pt>
                <c:pt idx="18">
                  <c:v>-225.41200828157343</c:v>
                </c:pt>
                <c:pt idx="19">
                  <c:v>611.58799171842657</c:v>
                </c:pt>
                <c:pt idx="20">
                  <c:v>-401.41200828157343</c:v>
                </c:pt>
                <c:pt idx="21">
                  <c:v>322.56728778467914</c:v>
                </c:pt>
                <c:pt idx="22">
                  <c:v>1073.5672877846791</c:v>
                </c:pt>
                <c:pt idx="23">
                  <c:v>-1881.3830227743274</c:v>
                </c:pt>
                <c:pt idx="24">
                  <c:v>-1024.4327122153209</c:v>
                </c:pt>
                <c:pt idx="25">
                  <c:v>-127.43271221532086</c:v>
                </c:pt>
                <c:pt idx="26">
                  <c:v>-783.43271221532086</c:v>
                </c:pt>
                <c:pt idx="27">
                  <c:v>-689.44513457556968</c:v>
                </c:pt>
                <c:pt idx="28">
                  <c:v>423.54658385093171</c:v>
                </c:pt>
                <c:pt idx="29">
                  <c:v>-987.43685300207017</c:v>
                </c:pt>
                <c:pt idx="30">
                  <c:v>-286.46997929606641</c:v>
                </c:pt>
                <c:pt idx="31">
                  <c:v>-635.44927536231899</c:v>
                </c:pt>
                <c:pt idx="32">
                  <c:v>-252.47826086956502</c:v>
                </c:pt>
                <c:pt idx="33">
                  <c:v>-441.45755693581759</c:v>
                </c:pt>
                <c:pt idx="34">
                  <c:v>-1429.4575569358176</c:v>
                </c:pt>
                <c:pt idx="35">
                  <c:v>-340.46997929606641</c:v>
                </c:pt>
                <c:pt idx="36">
                  <c:v>270.53002070393359</c:v>
                </c:pt>
                <c:pt idx="37">
                  <c:v>-691.43685300207017</c:v>
                </c:pt>
                <c:pt idx="38">
                  <c:v>-168.46997929606641</c:v>
                </c:pt>
                <c:pt idx="39">
                  <c:v>528.52587991718428</c:v>
                </c:pt>
                <c:pt idx="40">
                  <c:v>-303.46997929606641</c:v>
                </c:pt>
                <c:pt idx="41">
                  <c:v>-38.453416149068289</c:v>
                </c:pt>
                <c:pt idx="42">
                  <c:v>479.54658385093171</c:v>
                </c:pt>
                <c:pt idx="43">
                  <c:v>-681.43685300207017</c:v>
                </c:pt>
                <c:pt idx="44">
                  <c:v>-470.46583850931711</c:v>
                </c:pt>
                <c:pt idx="45">
                  <c:v>-422.46583850931711</c:v>
                </c:pt>
                <c:pt idx="46">
                  <c:v>-234.49068322981384</c:v>
                </c:pt>
                <c:pt idx="47">
                  <c:v>-79.469979296066413</c:v>
                </c:pt>
                <c:pt idx="48">
                  <c:v>-270.48240165631432</c:v>
                </c:pt>
                <c:pt idx="49">
                  <c:v>103.51759834368568</c:v>
                </c:pt>
                <c:pt idx="50">
                  <c:v>-238.46583850931711</c:v>
                </c:pt>
                <c:pt idx="51">
                  <c:v>-887.44513457556968</c:v>
                </c:pt>
                <c:pt idx="52">
                  <c:v>-600.50310559006266</c:v>
                </c:pt>
                <c:pt idx="53">
                  <c:v>154.49689440993734</c:v>
                </c:pt>
                <c:pt idx="54">
                  <c:v>-615.48240165631432</c:v>
                </c:pt>
                <c:pt idx="55">
                  <c:v>-884.50724637681196</c:v>
                </c:pt>
                <c:pt idx="56">
                  <c:v>-234.52795031055848</c:v>
                </c:pt>
                <c:pt idx="57">
                  <c:v>-733.52795031055848</c:v>
                </c:pt>
                <c:pt idx="58">
                  <c:v>-205.52795031055848</c:v>
                </c:pt>
                <c:pt idx="59">
                  <c:v>449.4596273291927</c:v>
                </c:pt>
                <c:pt idx="60">
                  <c:v>-531.51552795031057</c:v>
                </c:pt>
                <c:pt idx="61">
                  <c:v>-527.53209109730869</c:v>
                </c:pt>
                <c:pt idx="62">
                  <c:v>-701.53209109730869</c:v>
                </c:pt>
                <c:pt idx="63">
                  <c:v>-414.53209109730869</c:v>
                </c:pt>
                <c:pt idx="64">
                  <c:v>-389.53209109730869</c:v>
                </c:pt>
                <c:pt idx="65">
                  <c:v>-560.5445134575566</c:v>
                </c:pt>
                <c:pt idx="66">
                  <c:v>-156.5445134575566</c:v>
                </c:pt>
                <c:pt idx="67">
                  <c:v>835.463768115942</c:v>
                </c:pt>
                <c:pt idx="68">
                  <c:v>-939.50724637681196</c:v>
                </c:pt>
                <c:pt idx="69">
                  <c:v>-659.56107660455473</c:v>
                </c:pt>
                <c:pt idx="70">
                  <c:v>135.42650103519645</c:v>
                </c:pt>
                <c:pt idx="71">
                  <c:v>-86.552795031056121</c:v>
                </c:pt>
                <c:pt idx="72">
                  <c:v>55.447204968943879</c:v>
                </c:pt>
                <c:pt idx="73">
                  <c:v>-374.56521739130403</c:v>
                </c:pt>
                <c:pt idx="74">
                  <c:v>1533.4472049689439</c:v>
                </c:pt>
                <c:pt idx="75">
                  <c:v>-379.55279503105612</c:v>
                </c:pt>
                <c:pt idx="76">
                  <c:v>276.41407867494854</c:v>
                </c:pt>
                <c:pt idx="77">
                  <c:v>-287.56521739130403</c:v>
                </c:pt>
                <c:pt idx="78">
                  <c:v>-319.56521739130403</c:v>
                </c:pt>
                <c:pt idx="79">
                  <c:v>-494.56521739130403</c:v>
                </c:pt>
                <c:pt idx="80">
                  <c:v>-36.590062111801672</c:v>
                </c:pt>
                <c:pt idx="81">
                  <c:v>-75.569358178054244</c:v>
                </c:pt>
                <c:pt idx="82">
                  <c:v>-417.56935817805424</c:v>
                </c:pt>
                <c:pt idx="83">
                  <c:v>-583.62318840579701</c:v>
                </c:pt>
                <c:pt idx="84">
                  <c:v>-809.60248447204958</c:v>
                </c:pt>
                <c:pt idx="85">
                  <c:v>207.40165631469972</c:v>
                </c:pt>
                <c:pt idx="86">
                  <c:v>-499.6149068322984</c:v>
                </c:pt>
                <c:pt idx="87">
                  <c:v>324.3850931677016</c:v>
                </c:pt>
                <c:pt idx="88">
                  <c:v>556.39751552795042</c:v>
                </c:pt>
                <c:pt idx="89">
                  <c:v>-400.58592132505146</c:v>
                </c:pt>
                <c:pt idx="90">
                  <c:v>535.3850931677016</c:v>
                </c:pt>
                <c:pt idx="91">
                  <c:v>-225.58592132505146</c:v>
                </c:pt>
                <c:pt idx="92">
                  <c:v>33.401656314699721</c:v>
                </c:pt>
                <c:pt idx="93">
                  <c:v>-376.59834368530028</c:v>
                </c:pt>
                <c:pt idx="94">
                  <c:v>-36.602484472049582</c:v>
                </c:pt>
                <c:pt idx="95">
                  <c:v>588.3850931677016</c:v>
                </c:pt>
                <c:pt idx="96">
                  <c:v>-521.58592132505146</c:v>
                </c:pt>
                <c:pt idx="97">
                  <c:v>-552.57349896480355</c:v>
                </c:pt>
                <c:pt idx="98">
                  <c:v>-1113.5817805383022</c:v>
                </c:pt>
                <c:pt idx="99">
                  <c:v>326.40165631469972</c:v>
                </c:pt>
                <c:pt idx="100">
                  <c:v>-39.594202898550975</c:v>
                </c:pt>
                <c:pt idx="101">
                  <c:v>375.40579710144902</c:v>
                </c:pt>
                <c:pt idx="102">
                  <c:v>722.40579710144902</c:v>
                </c:pt>
                <c:pt idx="103">
                  <c:v>313.41821946169784</c:v>
                </c:pt>
                <c:pt idx="104">
                  <c:v>-703.60248447204958</c:v>
                </c:pt>
                <c:pt idx="105">
                  <c:v>354.3850931677016</c:v>
                </c:pt>
                <c:pt idx="106">
                  <c:v>-605.60248447204958</c:v>
                </c:pt>
                <c:pt idx="107">
                  <c:v>-785.62732919254631</c:v>
                </c:pt>
                <c:pt idx="108">
                  <c:v>678.37267080745369</c:v>
                </c:pt>
                <c:pt idx="109">
                  <c:v>-271.60248447204958</c:v>
                </c:pt>
                <c:pt idx="110">
                  <c:v>-271.62318840579701</c:v>
                </c:pt>
                <c:pt idx="111">
                  <c:v>127.36024844720487</c:v>
                </c:pt>
                <c:pt idx="112">
                  <c:v>-771.63975155279513</c:v>
                </c:pt>
                <c:pt idx="113">
                  <c:v>-472.60662525879889</c:v>
                </c:pt>
                <c:pt idx="114">
                  <c:v>2464.3975155279504</c:v>
                </c:pt>
                <c:pt idx="115">
                  <c:v>-205.60662525879889</c:v>
                </c:pt>
                <c:pt idx="116">
                  <c:v>-406.59420289855098</c:v>
                </c:pt>
                <c:pt idx="117">
                  <c:v>-782.62318840579701</c:v>
                </c:pt>
                <c:pt idx="118">
                  <c:v>-442.64803312629419</c:v>
                </c:pt>
                <c:pt idx="119">
                  <c:v>-127.6149068322984</c:v>
                </c:pt>
                <c:pt idx="120">
                  <c:v>-221.64803312629419</c:v>
                </c:pt>
                <c:pt idx="121">
                  <c:v>387.3892339544509</c:v>
                </c:pt>
                <c:pt idx="122">
                  <c:v>355.3892339544509</c:v>
                </c:pt>
                <c:pt idx="123">
                  <c:v>79.364389233954171</c:v>
                </c:pt>
                <c:pt idx="124">
                  <c:v>-451.62318840579701</c:v>
                </c:pt>
                <c:pt idx="125">
                  <c:v>-441.64803312629419</c:v>
                </c:pt>
                <c:pt idx="126">
                  <c:v>77.351966873705805</c:v>
                </c:pt>
                <c:pt idx="127">
                  <c:v>324.35196687370581</c:v>
                </c:pt>
                <c:pt idx="128">
                  <c:v>-253.64803312629419</c:v>
                </c:pt>
                <c:pt idx="129">
                  <c:v>408.35196687370581</c:v>
                </c:pt>
                <c:pt idx="130">
                  <c:v>223.35196687370581</c:v>
                </c:pt>
                <c:pt idx="131">
                  <c:v>-477.64803312629419</c:v>
                </c:pt>
                <c:pt idx="132">
                  <c:v>81.335403726708137</c:v>
                </c:pt>
                <c:pt idx="133">
                  <c:v>-205.66459627329186</c:v>
                </c:pt>
                <c:pt idx="134">
                  <c:v>792.34782608695696</c:v>
                </c:pt>
                <c:pt idx="135">
                  <c:v>-273.62318840579701</c:v>
                </c:pt>
                <c:pt idx="136">
                  <c:v>-397.62318840579701</c:v>
                </c:pt>
                <c:pt idx="137">
                  <c:v>-436.64803312629419</c:v>
                </c:pt>
                <c:pt idx="138">
                  <c:v>-427.64803312629419</c:v>
                </c:pt>
                <c:pt idx="139">
                  <c:v>-221.64803312629419</c:v>
                </c:pt>
                <c:pt idx="140">
                  <c:v>-361.64803312629419</c:v>
                </c:pt>
                <c:pt idx="141">
                  <c:v>-553.67287784679138</c:v>
                </c:pt>
                <c:pt idx="142">
                  <c:v>-11.67287784679138</c:v>
                </c:pt>
                <c:pt idx="143">
                  <c:v>575.32712215320862</c:v>
                </c:pt>
                <c:pt idx="144">
                  <c:v>-214.67287784679138</c:v>
                </c:pt>
                <c:pt idx="145">
                  <c:v>596.32712215320862</c:v>
                </c:pt>
                <c:pt idx="146">
                  <c:v>-246.70600414078672</c:v>
                </c:pt>
                <c:pt idx="147">
                  <c:v>513.27329192546586</c:v>
                </c:pt>
                <c:pt idx="148">
                  <c:v>299.3064182194621</c:v>
                </c:pt>
                <c:pt idx="149">
                  <c:v>52.356107660455564</c:v>
                </c:pt>
                <c:pt idx="150">
                  <c:v>-448.63975155279513</c:v>
                </c:pt>
                <c:pt idx="151">
                  <c:v>422.28157349896446</c:v>
                </c:pt>
                <c:pt idx="152">
                  <c:v>829.32712215320862</c:v>
                </c:pt>
                <c:pt idx="153">
                  <c:v>-77.69772256728811</c:v>
                </c:pt>
                <c:pt idx="154">
                  <c:v>398.32298136645932</c:v>
                </c:pt>
                <c:pt idx="155">
                  <c:v>-30.677018633540683</c:v>
                </c:pt>
                <c:pt idx="156">
                  <c:v>-75.66045548654256</c:v>
                </c:pt>
                <c:pt idx="157">
                  <c:v>381.32712215320862</c:v>
                </c:pt>
                <c:pt idx="158">
                  <c:v>1342.3519668737058</c:v>
                </c:pt>
                <c:pt idx="159">
                  <c:v>-785.67287784679138</c:v>
                </c:pt>
                <c:pt idx="160">
                  <c:v>129.33954451345767</c:v>
                </c:pt>
                <c:pt idx="161">
                  <c:v>965.33126293995883</c:v>
                </c:pt>
                <c:pt idx="162">
                  <c:v>981.33126293995883</c:v>
                </c:pt>
                <c:pt idx="163">
                  <c:v>590.33126293995883</c:v>
                </c:pt>
                <c:pt idx="164">
                  <c:v>-178.65631469979326</c:v>
                </c:pt>
                <c:pt idx="165">
                  <c:v>2048.3519668737058</c:v>
                </c:pt>
                <c:pt idx="166">
                  <c:v>-559.64803312629419</c:v>
                </c:pt>
                <c:pt idx="167">
                  <c:v>-213.66873706004117</c:v>
                </c:pt>
                <c:pt idx="168">
                  <c:v>-494.67701863354068</c:v>
                </c:pt>
                <c:pt idx="169">
                  <c:v>-56.67287784679138</c:v>
                </c:pt>
                <c:pt idx="170">
                  <c:v>569.34782608695696</c:v>
                </c:pt>
                <c:pt idx="171">
                  <c:v>-192.67701863354068</c:v>
                </c:pt>
                <c:pt idx="172">
                  <c:v>24.310559006211406</c:v>
                </c:pt>
                <c:pt idx="173">
                  <c:v>-615.63561076604583</c:v>
                </c:pt>
                <c:pt idx="174">
                  <c:v>-785.63975155279513</c:v>
                </c:pt>
                <c:pt idx="175">
                  <c:v>-185.66873706004117</c:v>
                </c:pt>
                <c:pt idx="176">
                  <c:v>158.33954451345744</c:v>
                </c:pt>
                <c:pt idx="177">
                  <c:v>-153.63975155279513</c:v>
                </c:pt>
                <c:pt idx="178">
                  <c:v>744.33954451345744</c:v>
                </c:pt>
                <c:pt idx="179">
                  <c:v>588.36024844720487</c:v>
                </c:pt>
                <c:pt idx="180">
                  <c:v>-653.63146997929653</c:v>
                </c:pt>
                <c:pt idx="181">
                  <c:v>610.31884057971001</c:v>
                </c:pt>
                <c:pt idx="182">
                  <c:v>-202.66459627329186</c:v>
                </c:pt>
                <c:pt idx="183">
                  <c:v>698.35610766045556</c:v>
                </c:pt>
                <c:pt idx="184">
                  <c:v>332.34368530020674</c:v>
                </c:pt>
                <c:pt idx="185">
                  <c:v>236.34782608695696</c:v>
                </c:pt>
                <c:pt idx="186">
                  <c:v>-68.652173913043043</c:v>
                </c:pt>
                <c:pt idx="187">
                  <c:v>-475.64389233954444</c:v>
                </c:pt>
                <c:pt idx="188">
                  <c:v>205.37267080745369</c:v>
                </c:pt>
                <c:pt idx="189">
                  <c:v>-110.63975155279513</c:v>
                </c:pt>
                <c:pt idx="190">
                  <c:v>41.356107660455564</c:v>
                </c:pt>
                <c:pt idx="191">
                  <c:v>77.356107660455564</c:v>
                </c:pt>
                <c:pt idx="192">
                  <c:v>-438.6149068322984</c:v>
                </c:pt>
                <c:pt idx="193">
                  <c:v>823.34782608695696</c:v>
                </c:pt>
                <c:pt idx="194">
                  <c:v>-2.5983436853002786</c:v>
                </c:pt>
                <c:pt idx="195">
                  <c:v>-555.63975155279513</c:v>
                </c:pt>
                <c:pt idx="196">
                  <c:v>-16.68530020703929</c:v>
                </c:pt>
                <c:pt idx="197">
                  <c:v>-287.63975155279513</c:v>
                </c:pt>
                <c:pt idx="198">
                  <c:v>368.34368530020674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0DE-B8A3-4C9CE263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1709120"/>
        <c:axId val="171709512"/>
      </c:barChart>
      <c:lineChart>
        <c:grouping val="standard"/>
        <c:varyColors val="0"/>
        <c:ser>
          <c:idx val="1"/>
          <c:order val="1"/>
          <c:tx>
            <c:strRef>
              <c:f>摂取カロリーと体重増減関係!$C$1</c:f>
              <c:strCache>
                <c:ptCount val="1"/>
                <c:pt idx="0">
                  <c:v>体重増減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摂取カロリーと体重増減関係!$A$2:$A$200</c:f>
              <c:numCache>
                <c:formatCode>m"月"d"日";@</c:formatCode>
                <c:ptCount val="199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  <c:pt idx="52">
                  <c:v>42537</c:v>
                </c:pt>
                <c:pt idx="53">
                  <c:v>42538</c:v>
                </c:pt>
                <c:pt idx="54">
                  <c:v>42539</c:v>
                </c:pt>
                <c:pt idx="55">
                  <c:v>42540</c:v>
                </c:pt>
                <c:pt idx="56">
                  <c:v>42541</c:v>
                </c:pt>
                <c:pt idx="57">
                  <c:v>42542</c:v>
                </c:pt>
                <c:pt idx="58">
                  <c:v>42543</c:v>
                </c:pt>
                <c:pt idx="59">
                  <c:v>42544</c:v>
                </c:pt>
                <c:pt idx="60">
                  <c:v>42545</c:v>
                </c:pt>
                <c:pt idx="61">
                  <c:v>42546</c:v>
                </c:pt>
                <c:pt idx="62">
                  <c:v>42547</c:v>
                </c:pt>
                <c:pt idx="63">
                  <c:v>42548</c:v>
                </c:pt>
                <c:pt idx="64">
                  <c:v>42549</c:v>
                </c:pt>
                <c:pt idx="65">
                  <c:v>42550</c:v>
                </c:pt>
                <c:pt idx="66">
                  <c:v>42551</c:v>
                </c:pt>
                <c:pt idx="67">
                  <c:v>42552</c:v>
                </c:pt>
                <c:pt idx="68">
                  <c:v>42553</c:v>
                </c:pt>
                <c:pt idx="69">
                  <c:v>42554</c:v>
                </c:pt>
                <c:pt idx="70">
                  <c:v>42555</c:v>
                </c:pt>
                <c:pt idx="71">
                  <c:v>42556</c:v>
                </c:pt>
                <c:pt idx="72">
                  <c:v>42557</c:v>
                </c:pt>
                <c:pt idx="73">
                  <c:v>42558</c:v>
                </c:pt>
                <c:pt idx="74">
                  <c:v>42559</c:v>
                </c:pt>
                <c:pt idx="75">
                  <c:v>42560</c:v>
                </c:pt>
                <c:pt idx="76">
                  <c:v>42561</c:v>
                </c:pt>
                <c:pt idx="77">
                  <c:v>42562</c:v>
                </c:pt>
                <c:pt idx="78">
                  <c:v>42563</c:v>
                </c:pt>
                <c:pt idx="79">
                  <c:v>42564</c:v>
                </c:pt>
                <c:pt idx="80">
                  <c:v>42565</c:v>
                </c:pt>
                <c:pt idx="81">
                  <c:v>42566</c:v>
                </c:pt>
                <c:pt idx="82">
                  <c:v>42567</c:v>
                </c:pt>
                <c:pt idx="83">
                  <c:v>42568</c:v>
                </c:pt>
                <c:pt idx="84">
                  <c:v>42569</c:v>
                </c:pt>
                <c:pt idx="85">
                  <c:v>42570</c:v>
                </c:pt>
                <c:pt idx="86">
                  <c:v>42571</c:v>
                </c:pt>
                <c:pt idx="87">
                  <c:v>42572</c:v>
                </c:pt>
                <c:pt idx="88">
                  <c:v>42573</c:v>
                </c:pt>
                <c:pt idx="89">
                  <c:v>42574</c:v>
                </c:pt>
                <c:pt idx="90">
                  <c:v>42575</c:v>
                </c:pt>
                <c:pt idx="91">
                  <c:v>42576</c:v>
                </c:pt>
                <c:pt idx="92">
                  <c:v>42577</c:v>
                </c:pt>
                <c:pt idx="93">
                  <c:v>42578</c:v>
                </c:pt>
                <c:pt idx="94">
                  <c:v>42579</c:v>
                </c:pt>
                <c:pt idx="95">
                  <c:v>42580</c:v>
                </c:pt>
                <c:pt idx="96">
                  <c:v>42581</c:v>
                </c:pt>
                <c:pt idx="97">
                  <c:v>42582</c:v>
                </c:pt>
                <c:pt idx="98">
                  <c:v>42583</c:v>
                </c:pt>
                <c:pt idx="99">
                  <c:v>42584</c:v>
                </c:pt>
                <c:pt idx="100">
                  <c:v>42585</c:v>
                </c:pt>
                <c:pt idx="101">
                  <c:v>42586</c:v>
                </c:pt>
                <c:pt idx="102">
                  <c:v>42587</c:v>
                </c:pt>
                <c:pt idx="103">
                  <c:v>42588</c:v>
                </c:pt>
                <c:pt idx="104">
                  <c:v>42589</c:v>
                </c:pt>
                <c:pt idx="105">
                  <c:v>42590</c:v>
                </c:pt>
                <c:pt idx="106">
                  <c:v>42591</c:v>
                </c:pt>
                <c:pt idx="107">
                  <c:v>42592</c:v>
                </c:pt>
                <c:pt idx="108">
                  <c:v>42593</c:v>
                </c:pt>
                <c:pt idx="109">
                  <c:v>42594</c:v>
                </c:pt>
                <c:pt idx="110">
                  <c:v>42595</c:v>
                </c:pt>
                <c:pt idx="111">
                  <c:v>42596</c:v>
                </c:pt>
                <c:pt idx="112">
                  <c:v>42597</c:v>
                </c:pt>
                <c:pt idx="113">
                  <c:v>42598</c:v>
                </c:pt>
                <c:pt idx="114">
                  <c:v>42599</c:v>
                </c:pt>
                <c:pt idx="115">
                  <c:v>42600</c:v>
                </c:pt>
                <c:pt idx="116">
                  <c:v>42601</c:v>
                </c:pt>
                <c:pt idx="117">
                  <c:v>42602</c:v>
                </c:pt>
                <c:pt idx="118">
                  <c:v>42603</c:v>
                </c:pt>
                <c:pt idx="119">
                  <c:v>42604</c:v>
                </c:pt>
                <c:pt idx="120">
                  <c:v>42605</c:v>
                </c:pt>
                <c:pt idx="121">
                  <c:v>42606</c:v>
                </c:pt>
                <c:pt idx="122">
                  <c:v>42607</c:v>
                </c:pt>
                <c:pt idx="123">
                  <c:v>42608</c:v>
                </c:pt>
                <c:pt idx="124">
                  <c:v>42609</c:v>
                </c:pt>
                <c:pt idx="125">
                  <c:v>42610</c:v>
                </c:pt>
                <c:pt idx="126">
                  <c:v>42611</c:v>
                </c:pt>
                <c:pt idx="127">
                  <c:v>42612</c:v>
                </c:pt>
                <c:pt idx="128">
                  <c:v>42613</c:v>
                </c:pt>
                <c:pt idx="129">
                  <c:v>42614</c:v>
                </c:pt>
                <c:pt idx="130">
                  <c:v>42615</c:v>
                </c:pt>
                <c:pt idx="131">
                  <c:v>42616</c:v>
                </c:pt>
                <c:pt idx="132">
                  <c:v>42617</c:v>
                </c:pt>
                <c:pt idx="133">
                  <c:v>42618</c:v>
                </c:pt>
                <c:pt idx="134">
                  <c:v>42619</c:v>
                </c:pt>
                <c:pt idx="135">
                  <c:v>42620</c:v>
                </c:pt>
                <c:pt idx="136">
                  <c:v>42621</c:v>
                </c:pt>
                <c:pt idx="137">
                  <c:v>42622</c:v>
                </c:pt>
                <c:pt idx="138">
                  <c:v>42623</c:v>
                </c:pt>
                <c:pt idx="139">
                  <c:v>42624</c:v>
                </c:pt>
                <c:pt idx="140">
                  <c:v>42625</c:v>
                </c:pt>
                <c:pt idx="141">
                  <c:v>42626</c:v>
                </c:pt>
                <c:pt idx="142">
                  <c:v>42627</c:v>
                </c:pt>
                <c:pt idx="143">
                  <c:v>42628</c:v>
                </c:pt>
                <c:pt idx="144">
                  <c:v>42629</c:v>
                </c:pt>
                <c:pt idx="145">
                  <c:v>42630</c:v>
                </c:pt>
                <c:pt idx="146">
                  <c:v>42631</c:v>
                </c:pt>
                <c:pt idx="147">
                  <c:v>42632</c:v>
                </c:pt>
                <c:pt idx="148">
                  <c:v>42633</c:v>
                </c:pt>
                <c:pt idx="149">
                  <c:v>42634</c:v>
                </c:pt>
                <c:pt idx="150">
                  <c:v>42635</c:v>
                </c:pt>
                <c:pt idx="151">
                  <c:v>42636</c:v>
                </c:pt>
                <c:pt idx="152">
                  <c:v>42637</c:v>
                </c:pt>
                <c:pt idx="153">
                  <c:v>42638</c:v>
                </c:pt>
                <c:pt idx="154">
                  <c:v>42639</c:v>
                </c:pt>
                <c:pt idx="155">
                  <c:v>42640</c:v>
                </c:pt>
                <c:pt idx="156">
                  <c:v>42641</c:v>
                </c:pt>
                <c:pt idx="157">
                  <c:v>42642</c:v>
                </c:pt>
                <c:pt idx="158">
                  <c:v>42643</c:v>
                </c:pt>
                <c:pt idx="159">
                  <c:v>42644</c:v>
                </c:pt>
                <c:pt idx="160">
                  <c:v>42645</c:v>
                </c:pt>
                <c:pt idx="161">
                  <c:v>42646</c:v>
                </c:pt>
                <c:pt idx="162">
                  <c:v>42647</c:v>
                </c:pt>
                <c:pt idx="163">
                  <c:v>42648</c:v>
                </c:pt>
                <c:pt idx="164">
                  <c:v>42649</c:v>
                </c:pt>
                <c:pt idx="165">
                  <c:v>42650</c:v>
                </c:pt>
                <c:pt idx="166">
                  <c:v>42651</c:v>
                </c:pt>
                <c:pt idx="167">
                  <c:v>42652</c:v>
                </c:pt>
                <c:pt idx="168">
                  <c:v>42653</c:v>
                </c:pt>
                <c:pt idx="169">
                  <c:v>42654</c:v>
                </c:pt>
                <c:pt idx="170">
                  <c:v>42655</c:v>
                </c:pt>
                <c:pt idx="171">
                  <c:v>42656</c:v>
                </c:pt>
                <c:pt idx="172">
                  <c:v>42657</c:v>
                </c:pt>
                <c:pt idx="173">
                  <c:v>42658</c:v>
                </c:pt>
                <c:pt idx="174">
                  <c:v>42659</c:v>
                </c:pt>
                <c:pt idx="175">
                  <c:v>42660</c:v>
                </c:pt>
                <c:pt idx="176">
                  <c:v>42661</c:v>
                </c:pt>
                <c:pt idx="177">
                  <c:v>42662</c:v>
                </c:pt>
                <c:pt idx="178">
                  <c:v>42663</c:v>
                </c:pt>
                <c:pt idx="179">
                  <c:v>42664</c:v>
                </c:pt>
                <c:pt idx="180">
                  <c:v>42665</c:v>
                </c:pt>
                <c:pt idx="181">
                  <c:v>42666</c:v>
                </c:pt>
                <c:pt idx="182">
                  <c:v>42667</c:v>
                </c:pt>
                <c:pt idx="183">
                  <c:v>42668</c:v>
                </c:pt>
                <c:pt idx="184">
                  <c:v>42669</c:v>
                </c:pt>
                <c:pt idx="185">
                  <c:v>42670</c:v>
                </c:pt>
                <c:pt idx="186">
                  <c:v>42671</c:v>
                </c:pt>
                <c:pt idx="187">
                  <c:v>42672</c:v>
                </c:pt>
                <c:pt idx="188">
                  <c:v>42673</c:v>
                </c:pt>
                <c:pt idx="189">
                  <c:v>42674</c:v>
                </c:pt>
                <c:pt idx="190">
                  <c:v>42675</c:v>
                </c:pt>
                <c:pt idx="191">
                  <c:v>42676</c:v>
                </c:pt>
                <c:pt idx="192">
                  <c:v>42677</c:v>
                </c:pt>
                <c:pt idx="193">
                  <c:v>42678</c:v>
                </c:pt>
                <c:pt idx="194">
                  <c:v>42679</c:v>
                </c:pt>
                <c:pt idx="195">
                  <c:v>42680</c:v>
                </c:pt>
                <c:pt idx="196">
                  <c:v>42681</c:v>
                </c:pt>
                <c:pt idx="197">
                  <c:v>42682</c:v>
                </c:pt>
                <c:pt idx="198">
                  <c:v>42683</c:v>
                </c:pt>
              </c:numCache>
            </c:numRef>
          </c:cat>
          <c:val>
            <c:numRef>
              <c:f>摂取カロリーと体重増減関係!$C$2:$C$200</c:f>
              <c:numCache>
                <c:formatCode>General</c:formatCode>
                <c:ptCount val="199"/>
                <c:pt idx="1">
                  <c:v>0</c:v>
                </c:pt>
                <c:pt idx="2">
                  <c:v>0.59999999999999432</c:v>
                </c:pt>
                <c:pt idx="3">
                  <c:v>-0.59999999999999432</c:v>
                </c:pt>
                <c:pt idx="4">
                  <c:v>-1</c:v>
                </c:pt>
                <c:pt idx="5">
                  <c:v>0</c:v>
                </c:pt>
                <c:pt idx="6">
                  <c:v>0</c:v>
                </c:pt>
                <c:pt idx="7">
                  <c:v>0.19999999999998863</c:v>
                </c:pt>
                <c:pt idx="8">
                  <c:v>-0.79999999999999716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</c:v>
                </c:pt>
                <c:pt idx="13">
                  <c:v>-0.70000000000000284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-0.79999999999999716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-0.5</c:v>
                </c:pt>
                <c:pt idx="22">
                  <c:v>0</c:v>
                </c:pt>
                <c:pt idx="23">
                  <c:v>1.2000000000000028</c:v>
                </c:pt>
                <c:pt idx="24">
                  <c:v>-1.2000000000000028</c:v>
                </c:pt>
                <c:pt idx="25">
                  <c:v>0</c:v>
                </c:pt>
                <c:pt idx="26">
                  <c:v>0</c:v>
                </c:pt>
                <c:pt idx="27">
                  <c:v>-0.29999999999999716</c:v>
                </c:pt>
                <c:pt idx="28">
                  <c:v>-0.20000000000000284</c:v>
                </c:pt>
                <c:pt idx="29">
                  <c:v>0.40000000000000568</c:v>
                </c:pt>
                <c:pt idx="30">
                  <c:v>-0.79999999999999716</c:v>
                </c:pt>
                <c:pt idx="31">
                  <c:v>0.5</c:v>
                </c:pt>
                <c:pt idx="32">
                  <c:v>-0.70000000000000284</c:v>
                </c:pt>
                <c:pt idx="33">
                  <c:v>0.5</c:v>
                </c:pt>
                <c:pt idx="34">
                  <c:v>0</c:v>
                </c:pt>
                <c:pt idx="35">
                  <c:v>-0.29999999999999716</c:v>
                </c:pt>
                <c:pt idx="36">
                  <c:v>0</c:v>
                </c:pt>
                <c:pt idx="37">
                  <c:v>0.79999999999999716</c:v>
                </c:pt>
                <c:pt idx="38">
                  <c:v>-0.79999999999999716</c:v>
                </c:pt>
                <c:pt idx="39">
                  <c:v>-0.10000000000000853</c:v>
                </c:pt>
                <c:pt idx="40">
                  <c:v>0.10000000000000853</c:v>
                </c:pt>
                <c:pt idx="41">
                  <c:v>0.39999999999999147</c:v>
                </c:pt>
                <c:pt idx="42">
                  <c:v>0</c:v>
                </c:pt>
                <c:pt idx="43">
                  <c:v>0.40000000000000568</c:v>
                </c:pt>
                <c:pt idx="44">
                  <c:v>-0.70000000000000284</c:v>
                </c:pt>
                <c:pt idx="45">
                  <c:v>0</c:v>
                </c:pt>
                <c:pt idx="46">
                  <c:v>-0.59999999999999432</c:v>
                </c:pt>
                <c:pt idx="47">
                  <c:v>0.5</c:v>
                </c:pt>
                <c:pt idx="48">
                  <c:v>-0.30000000000001137</c:v>
                </c:pt>
                <c:pt idx="49">
                  <c:v>0</c:v>
                </c:pt>
                <c:pt idx="50">
                  <c:v>0.40000000000000568</c:v>
                </c:pt>
                <c:pt idx="51">
                  <c:v>0.5</c:v>
                </c:pt>
                <c:pt idx="52">
                  <c:v>-1.4000000000000057</c:v>
                </c:pt>
                <c:pt idx="53">
                  <c:v>0</c:v>
                </c:pt>
                <c:pt idx="54">
                  <c:v>0.5</c:v>
                </c:pt>
                <c:pt idx="55">
                  <c:v>-0.59999999999999432</c:v>
                </c:pt>
                <c:pt idx="56">
                  <c:v>-0.5</c:v>
                </c:pt>
                <c:pt idx="57">
                  <c:v>0</c:v>
                </c:pt>
                <c:pt idx="58">
                  <c:v>0</c:v>
                </c:pt>
                <c:pt idx="59">
                  <c:v>-0.29999999999999716</c:v>
                </c:pt>
                <c:pt idx="60">
                  <c:v>0.59999999999999432</c:v>
                </c:pt>
                <c:pt idx="61">
                  <c:v>-0.39999999999999147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-0.30000000000001137</c:v>
                </c:pt>
                <c:pt idx="66">
                  <c:v>0</c:v>
                </c:pt>
                <c:pt idx="67">
                  <c:v>0.20000000000000284</c:v>
                </c:pt>
                <c:pt idx="68">
                  <c:v>0.70000000000000284</c:v>
                </c:pt>
                <c:pt idx="69">
                  <c:v>-1.2999999999999972</c:v>
                </c:pt>
                <c:pt idx="70">
                  <c:v>-0.29999999999999716</c:v>
                </c:pt>
                <c:pt idx="71">
                  <c:v>0.5</c:v>
                </c:pt>
                <c:pt idx="72">
                  <c:v>0</c:v>
                </c:pt>
                <c:pt idx="73">
                  <c:v>-0.30000000000001137</c:v>
                </c:pt>
                <c:pt idx="74">
                  <c:v>0.30000000000001137</c:v>
                </c:pt>
                <c:pt idx="75">
                  <c:v>0</c:v>
                </c:pt>
                <c:pt idx="76">
                  <c:v>-0.80000000000001137</c:v>
                </c:pt>
                <c:pt idx="77">
                  <c:v>0.5</c:v>
                </c:pt>
                <c:pt idx="78">
                  <c:v>0</c:v>
                </c:pt>
                <c:pt idx="79">
                  <c:v>0</c:v>
                </c:pt>
                <c:pt idx="80">
                  <c:v>-0.59999999999999432</c:v>
                </c:pt>
                <c:pt idx="81">
                  <c:v>0.5</c:v>
                </c:pt>
                <c:pt idx="82">
                  <c:v>0</c:v>
                </c:pt>
                <c:pt idx="83">
                  <c:v>-1.2999999999999972</c:v>
                </c:pt>
                <c:pt idx="84">
                  <c:v>0.5</c:v>
                </c:pt>
                <c:pt idx="85">
                  <c:v>9.9999999999994316E-2</c:v>
                </c:pt>
                <c:pt idx="86">
                  <c:v>-0.39999999999999147</c:v>
                </c:pt>
                <c:pt idx="87">
                  <c:v>0</c:v>
                </c:pt>
                <c:pt idx="88">
                  <c:v>0.29999999999999716</c:v>
                </c:pt>
                <c:pt idx="89">
                  <c:v>0.39999999999999147</c:v>
                </c:pt>
                <c:pt idx="90">
                  <c:v>-0.69999999999998863</c:v>
                </c:pt>
                <c:pt idx="91">
                  <c:v>0.69999999999998863</c:v>
                </c:pt>
                <c:pt idx="92">
                  <c:v>-0.29999999999999716</c:v>
                </c:pt>
                <c:pt idx="93">
                  <c:v>0</c:v>
                </c:pt>
                <c:pt idx="94">
                  <c:v>-9.9999999999994316E-2</c:v>
                </c:pt>
                <c:pt idx="95">
                  <c:v>-0.29999999999999716</c:v>
                </c:pt>
                <c:pt idx="96">
                  <c:v>0.69999999999998863</c:v>
                </c:pt>
                <c:pt idx="97">
                  <c:v>0.30000000000001137</c:v>
                </c:pt>
                <c:pt idx="98">
                  <c:v>-0.20000000000000284</c:v>
                </c:pt>
                <c:pt idx="99">
                  <c:v>-0.40000000000000568</c:v>
                </c:pt>
                <c:pt idx="100">
                  <c:v>0.10000000000000853</c:v>
                </c:pt>
                <c:pt idx="101">
                  <c:v>0</c:v>
                </c:pt>
                <c:pt idx="102">
                  <c:v>0</c:v>
                </c:pt>
                <c:pt idx="103">
                  <c:v>0.29999999999999716</c:v>
                </c:pt>
                <c:pt idx="104">
                  <c:v>-0.5</c:v>
                </c:pt>
                <c:pt idx="105">
                  <c:v>-0.29999999999999716</c:v>
                </c:pt>
                <c:pt idx="106">
                  <c:v>0.29999999999999716</c:v>
                </c:pt>
                <c:pt idx="107">
                  <c:v>-0.60000000000000853</c:v>
                </c:pt>
                <c:pt idx="108">
                  <c:v>0</c:v>
                </c:pt>
                <c:pt idx="109">
                  <c:v>0.60000000000000853</c:v>
                </c:pt>
                <c:pt idx="110">
                  <c:v>-0.5</c:v>
                </c:pt>
                <c:pt idx="111">
                  <c:v>-0.40000000000000568</c:v>
                </c:pt>
                <c:pt idx="112">
                  <c:v>0</c:v>
                </c:pt>
                <c:pt idx="113">
                  <c:v>0.79999999999999716</c:v>
                </c:pt>
                <c:pt idx="114">
                  <c:v>0.10000000000000853</c:v>
                </c:pt>
                <c:pt idx="115">
                  <c:v>-0.10000000000000853</c:v>
                </c:pt>
                <c:pt idx="116">
                  <c:v>0.30000000000001137</c:v>
                </c:pt>
                <c:pt idx="117">
                  <c:v>-0.70000000000000284</c:v>
                </c:pt>
                <c:pt idx="118">
                  <c:v>-0.60000000000000853</c:v>
                </c:pt>
                <c:pt idx="119">
                  <c:v>0.80000000000001137</c:v>
                </c:pt>
                <c:pt idx="120">
                  <c:v>-0.80000000000001137</c:v>
                </c:pt>
                <c:pt idx="121">
                  <c:v>0.90000000000000568</c:v>
                </c:pt>
                <c:pt idx="122">
                  <c:v>0</c:v>
                </c:pt>
                <c:pt idx="123">
                  <c:v>-0.59999999999999432</c:v>
                </c:pt>
                <c:pt idx="124">
                  <c:v>0.29999999999999716</c:v>
                </c:pt>
                <c:pt idx="125">
                  <c:v>-0.60000000000000853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-0.39999999999999147</c:v>
                </c:pt>
                <c:pt idx="133">
                  <c:v>0</c:v>
                </c:pt>
                <c:pt idx="134">
                  <c:v>0.29999999999999716</c:v>
                </c:pt>
                <c:pt idx="135">
                  <c:v>0.70000000000000284</c:v>
                </c:pt>
                <c:pt idx="136">
                  <c:v>0</c:v>
                </c:pt>
                <c:pt idx="137">
                  <c:v>-0.60000000000000853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-0.59999999999999432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-0.79999999999999716</c:v>
                </c:pt>
                <c:pt idx="147">
                  <c:v>-0.5</c:v>
                </c:pt>
                <c:pt idx="148">
                  <c:v>0.79999999999999716</c:v>
                </c:pt>
                <c:pt idx="149">
                  <c:v>1.2000000000000028</c:v>
                </c:pt>
                <c:pt idx="150">
                  <c:v>9.9999999999994316E-2</c:v>
                </c:pt>
                <c:pt idx="151">
                  <c:v>-1.8999999999999915</c:v>
                </c:pt>
                <c:pt idx="152">
                  <c:v>1.0999999999999943</c:v>
                </c:pt>
                <c:pt idx="153">
                  <c:v>-0.59999999999999432</c:v>
                </c:pt>
                <c:pt idx="154">
                  <c:v>0.5</c:v>
                </c:pt>
                <c:pt idx="155">
                  <c:v>0</c:v>
                </c:pt>
                <c:pt idx="156">
                  <c:v>0.39999999999999147</c:v>
                </c:pt>
                <c:pt idx="157">
                  <c:v>-0.29999999999999716</c:v>
                </c:pt>
                <c:pt idx="158">
                  <c:v>0.59999999999999432</c:v>
                </c:pt>
                <c:pt idx="159">
                  <c:v>-0.59999999999999432</c:v>
                </c:pt>
                <c:pt idx="160">
                  <c:v>0.29999999999999716</c:v>
                </c:pt>
                <c:pt idx="161">
                  <c:v>-0.20000000000000284</c:v>
                </c:pt>
                <c:pt idx="162">
                  <c:v>0</c:v>
                </c:pt>
                <c:pt idx="163">
                  <c:v>0</c:v>
                </c:pt>
                <c:pt idx="164">
                  <c:v>0.30000000000001137</c:v>
                </c:pt>
                <c:pt idx="165">
                  <c:v>0.19999999999998863</c:v>
                </c:pt>
                <c:pt idx="166">
                  <c:v>0</c:v>
                </c:pt>
                <c:pt idx="167">
                  <c:v>-0.5</c:v>
                </c:pt>
                <c:pt idx="168">
                  <c:v>-0.19999999999998863</c:v>
                </c:pt>
                <c:pt idx="169">
                  <c:v>9.9999999999994316E-2</c:v>
                </c:pt>
                <c:pt idx="170">
                  <c:v>0.5</c:v>
                </c:pt>
                <c:pt idx="171">
                  <c:v>-0.59999999999999432</c:v>
                </c:pt>
                <c:pt idx="172">
                  <c:v>-0.30000000000001137</c:v>
                </c:pt>
                <c:pt idx="173">
                  <c:v>1.3000000000000114</c:v>
                </c:pt>
                <c:pt idx="174">
                  <c:v>-0.10000000000000853</c:v>
                </c:pt>
                <c:pt idx="175">
                  <c:v>-0.70000000000000284</c:v>
                </c:pt>
                <c:pt idx="176">
                  <c:v>0.20000000000000284</c:v>
                </c:pt>
                <c:pt idx="177">
                  <c:v>0.5</c:v>
                </c:pt>
                <c:pt idx="178">
                  <c:v>-0.5</c:v>
                </c:pt>
                <c:pt idx="179">
                  <c:v>0.5</c:v>
                </c:pt>
                <c:pt idx="180">
                  <c:v>0.20000000000000284</c:v>
                </c:pt>
                <c:pt idx="181">
                  <c:v>-1.2000000000000028</c:v>
                </c:pt>
                <c:pt idx="182">
                  <c:v>0.40000000000000568</c:v>
                </c:pt>
                <c:pt idx="183">
                  <c:v>0.5</c:v>
                </c:pt>
                <c:pt idx="184">
                  <c:v>-0.29999999999999716</c:v>
                </c:pt>
                <c:pt idx="185">
                  <c:v>9.9999999999994316E-2</c:v>
                </c:pt>
                <c:pt idx="186">
                  <c:v>0</c:v>
                </c:pt>
                <c:pt idx="187">
                  <c:v>0.20000000000000284</c:v>
                </c:pt>
                <c:pt idx="188">
                  <c:v>0.39999999999999147</c:v>
                </c:pt>
                <c:pt idx="189">
                  <c:v>-0.29999999999999716</c:v>
                </c:pt>
                <c:pt idx="190">
                  <c:v>-9.9999999999994316E-2</c:v>
                </c:pt>
                <c:pt idx="191">
                  <c:v>0</c:v>
                </c:pt>
                <c:pt idx="192">
                  <c:v>0.70000000000000284</c:v>
                </c:pt>
                <c:pt idx="193">
                  <c:v>-0.90000000000000568</c:v>
                </c:pt>
                <c:pt idx="194">
                  <c:v>1.2999999999999972</c:v>
                </c:pt>
                <c:pt idx="195">
                  <c:v>-1</c:v>
                </c:pt>
                <c:pt idx="196">
                  <c:v>-1.0999999999999943</c:v>
                </c:pt>
                <c:pt idx="197">
                  <c:v>1.0999999999999943</c:v>
                </c:pt>
                <c:pt idx="198">
                  <c:v>-0.39999999999999147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D-40DE-B8A3-4C9CE263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0688"/>
        <c:axId val="171709904"/>
      </c:lineChart>
      <c:dateAx>
        <c:axId val="171709120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512"/>
        <c:crosses val="autoZero"/>
        <c:auto val="1"/>
        <c:lblOffset val="100"/>
        <c:baseTimeUnit val="days"/>
      </c:dateAx>
      <c:valAx>
        <c:axId val="171709512"/>
        <c:scaling>
          <c:orientation val="minMax"/>
          <c:max val="15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120"/>
        <c:crosses val="autoZero"/>
        <c:crossBetween val="between"/>
      </c:valAx>
      <c:valAx>
        <c:axId val="171709904"/>
        <c:scaling>
          <c:orientation val="minMax"/>
          <c:min val="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0688"/>
        <c:crosses val="max"/>
        <c:crossBetween val="between"/>
      </c:valAx>
      <c:dateAx>
        <c:axId val="171710688"/>
        <c:scaling>
          <c:orientation val="minMax"/>
        </c:scaling>
        <c:delete val="1"/>
        <c:axPos val="b"/>
        <c:numFmt formatCode="m&quot;月&quot;d&quot;日&quot;;@" sourceLinked="1"/>
        <c:majorTickMark val="out"/>
        <c:minorTickMark val="none"/>
        <c:tickLblPos val="nextTo"/>
        <c:crossAx val="17170990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-3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u="sng"/>
              <a:t>４月２５日～５月２７日（▲４．０ｋｇ）</a:t>
            </a:r>
            <a:endParaRPr lang="en-US" altLang="ja-JP" sz="1600" u="sng"/>
          </a:p>
          <a:p>
            <a:pPr algn="ctr">
              <a:defRPr sz="1600"/>
            </a:pPr>
            <a:r>
              <a:rPr lang="ja-JP" altLang="en-US" sz="1600"/>
              <a:t>棒</a:t>
            </a:r>
            <a:r>
              <a:rPr lang="en-US" altLang="ja-JP" sz="1600"/>
              <a:t>(</a:t>
            </a:r>
            <a:r>
              <a:rPr lang="ja-JP" altLang="en-US" sz="1600"/>
              <a:t>左軸</a:t>
            </a:r>
            <a:r>
              <a:rPr lang="en-US" altLang="ja-JP" sz="1600"/>
              <a:t>)</a:t>
            </a:r>
            <a:r>
              <a:rPr lang="ja-JP" altLang="en-US" sz="1600"/>
              <a:t>：</a:t>
            </a:r>
            <a:r>
              <a:rPr lang="en-US" altLang="ja-JP" sz="1600"/>
              <a:t>(</a:t>
            </a:r>
            <a:r>
              <a:rPr lang="ja-JP" altLang="en-US" sz="1600"/>
              <a:t>摂取</a:t>
            </a:r>
            <a:r>
              <a:rPr lang="en-US" altLang="ja-JP" sz="1600"/>
              <a:t>cal)</a:t>
            </a:r>
            <a:r>
              <a:rPr lang="ja-JP" altLang="en-US" sz="1600"/>
              <a:t>ー</a:t>
            </a:r>
            <a:r>
              <a:rPr lang="en-US" altLang="ja-JP" sz="1600"/>
              <a:t>(</a:t>
            </a:r>
            <a:r>
              <a:rPr lang="en-US" altLang="ja-JP" sz="1600" b="0" i="0" u="none" strike="noStrike" baseline="0">
                <a:effectLst/>
              </a:rPr>
              <a:t>70Kg</a:t>
            </a:r>
            <a:r>
              <a:rPr lang="ja-JP" altLang="ja-JP" sz="1600" b="0" i="0" u="none" strike="noStrike" baseline="0">
                <a:effectLst/>
              </a:rPr>
              <a:t>時活動レベル</a:t>
            </a:r>
            <a:r>
              <a:rPr lang="en-US" altLang="ja-JP" sz="1600" b="0" i="0" u="none" strike="noStrike" baseline="0">
                <a:effectLst/>
              </a:rPr>
              <a:t>Ⅰ</a:t>
            </a:r>
            <a:r>
              <a:rPr lang="ja-JP" altLang="ja-JP" sz="1600" b="0" i="0" u="none" strike="noStrike" baseline="0">
                <a:effectLst/>
              </a:rPr>
              <a:t>を目標にした</a:t>
            </a:r>
            <a:r>
              <a:rPr lang="ja-JP" altLang="en-US" sz="1600" b="0" i="0" u="none" strike="noStrike" baseline="0">
                <a:effectLst/>
              </a:rPr>
              <a:t>摂取目標</a:t>
            </a:r>
            <a:r>
              <a:rPr lang="en-US" altLang="ja-JP" sz="1600" b="0" i="0" u="none" strike="noStrike" baseline="0">
                <a:effectLst/>
              </a:rPr>
              <a:t>cal※)</a:t>
            </a:r>
            <a:r>
              <a:rPr lang="ja-JP" altLang="en-US" sz="1600" b="0" i="0" u="none" strike="noStrike" baseline="0">
                <a:effectLst/>
              </a:rPr>
              <a:t>ー</a:t>
            </a:r>
            <a:r>
              <a:rPr lang="en-US" altLang="ja-JP" sz="1600" b="0" i="0" u="none" strike="noStrike" baseline="0">
                <a:effectLst/>
              </a:rPr>
              <a:t>(</a:t>
            </a:r>
            <a:r>
              <a:rPr lang="ja-JP" altLang="en-US" sz="1600" b="0" i="0" u="none" strike="noStrike" baseline="0">
                <a:effectLst/>
              </a:rPr>
              <a:t>運動消費</a:t>
            </a:r>
            <a:r>
              <a:rPr lang="en-US" altLang="ja-JP" sz="1600" b="0" i="0" u="none" strike="noStrike" baseline="0">
                <a:effectLst/>
              </a:rPr>
              <a:t>cal)</a:t>
            </a:r>
          </a:p>
          <a:p>
            <a:pPr algn="ctr">
              <a:defRPr sz="1600"/>
            </a:pPr>
            <a:r>
              <a:rPr lang="en-US" altLang="ja-JP" sz="1600" b="0" i="0" u="none" strike="noStrike" baseline="0">
                <a:effectLst/>
              </a:rPr>
              <a:t>※70Kg</a:t>
            </a:r>
            <a:r>
              <a:rPr lang="ja-JP" altLang="en-US" sz="1600" b="0" i="0" u="none" strike="noStrike" baseline="0">
                <a:effectLst/>
              </a:rPr>
              <a:t>時活動レベル</a:t>
            </a:r>
            <a:r>
              <a:rPr lang="en-US" altLang="ja-JP" sz="1600" b="0" i="0" u="none" strike="noStrike" baseline="0">
                <a:effectLst/>
              </a:rPr>
              <a:t>Ⅰ</a:t>
            </a:r>
            <a:r>
              <a:rPr lang="ja-JP" altLang="en-US" sz="1600" b="0" i="0" u="none" strike="noStrike" baseline="0">
                <a:effectLst/>
              </a:rPr>
              <a:t>の消費</a:t>
            </a:r>
            <a:r>
              <a:rPr lang="en-US" altLang="ja-JP" sz="1600" b="0" i="0" u="none" strike="noStrike" baseline="0">
                <a:effectLst/>
              </a:rPr>
              <a:t>cal</a:t>
            </a:r>
            <a:r>
              <a:rPr lang="ja-JP" altLang="en-US" sz="1600" b="0" i="0" u="none" strike="noStrike" baseline="0">
                <a:effectLst/>
              </a:rPr>
              <a:t>に対して現時点消費</a:t>
            </a:r>
            <a:r>
              <a:rPr lang="en-US" altLang="ja-JP" sz="1600" b="0" i="0" u="none" strike="noStrike" baseline="0">
                <a:effectLst/>
              </a:rPr>
              <a:t>cal</a:t>
            </a:r>
            <a:r>
              <a:rPr lang="ja-JP" altLang="en-US" sz="1600" b="0" i="0" u="none" strike="noStrike" baseline="0">
                <a:effectLst/>
              </a:rPr>
              <a:t>の</a:t>
            </a:r>
            <a:r>
              <a:rPr lang="en-US" altLang="ja-JP" sz="1600" b="0" i="0" u="none" strike="noStrike" baseline="0">
                <a:effectLst/>
              </a:rPr>
              <a:t>2/3</a:t>
            </a:r>
            <a:endParaRPr lang="en-US" altLang="ja-JP" sz="1600"/>
          </a:p>
          <a:p>
            <a:pPr algn="ctr">
              <a:defRPr sz="1600"/>
            </a:pPr>
            <a:r>
              <a:rPr lang="ja-JP" altLang="en-US" sz="1600"/>
              <a:t>折れ線</a:t>
            </a:r>
            <a:r>
              <a:rPr lang="en-US" altLang="ja-JP" sz="1600"/>
              <a:t>(</a:t>
            </a:r>
            <a:r>
              <a:rPr lang="ja-JP" altLang="en-US" sz="1600"/>
              <a:t>右軸</a:t>
            </a:r>
            <a:r>
              <a:rPr lang="en-US" altLang="ja-JP" sz="1600"/>
              <a:t>)</a:t>
            </a:r>
            <a:r>
              <a:rPr lang="ja-JP" altLang="en-US" sz="1600"/>
              <a:t>：（翌朝体重増減の関係）</a:t>
            </a:r>
          </a:p>
        </c:rich>
      </c:tx>
      <c:layout>
        <c:manualLayout>
          <c:xMode val="edge"/>
          <c:yMode val="edge"/>
          <c:x val="0.13530470476611331"/>
          <c:y val="1.4044910737714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摂取カロリーと体重増減関係!$B$1</c:f>
              <c:strCache>
                <c:ptCount val="1"/>
                <c:pt idx="0">
                  <c:v>摂取目標カロリー差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摂取カロリーと体重増減関係!$A$2:$A$34</c:f>
              <c:numCache>
                <c:formatCode>m"月"d"日";@</c:formatCode>
                <c:ptCount val="33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</c:numCache>
            </c:numRef>
          </c:cat>
          <c:val>
            <c:numRef>
              <c:f>摂取カロリーと体重増減関係!$B$2:$B$34</c:f>
              <c:numCache>
                <c:formatCode>0.0_ </c:formatCode>
                <c:ptCount val="33"/>
                <c:pt idx="0">
                  <c:v>-1261.304347826087</c:v>
                </c:pt>
                <c:pt idx="1">
                  <c:v>198.695652173913</c:v>
                </c:pt>
                <c:pt idx="2">
                  <c:v>-1192.2795031055898</c:v>
                </c:pt>
                <c:pt idx="3">
                  <c:v>-1186.304347826087</c:v>
                </c:pt>
                <c:pt idx="4">
                  <c:v>-1092.3457556935819</c:v>
                </c:pt>
                <c:pt idx="5">
                  <c:v>-178.34575569358185</c:v>
                </c:pt>
                <c:pt idx="6">
                  <c:v>661.65424430641815</c:v>
                </c:pt>
                <c:pt idx="7">
                  <c:v>-967.33747412008279</c:v>
                </c:pt>
                <c:pt idx="8">
                  <c:v>-349.37060041407904</c:v>
                </c:pt>
                <c:pt idx="9">
                  <c:v>-927.37060041407904</c:v>
                </c:pt>
                <c:pt idx="10">
                  <c:v>-496.37060041407904</c:v>
                </c:pt>
                <c:pt idx="11">
                  <c:v>-38.370600414079036</c:v>
                </c:pt>
                <c:pt idx="12">
                  <c:v>-1297.3498964803316</c:v>
                </c:pt>
                <c:pt idx="13">
                  <c:v>-606.37888198757764</c:v>
                </c:pt>
                <c:pt idx="14">
                  <c:v>1131.6211180124224</c:v>
                </c:pt>
                <c:pt idx="15">
                  <c:v>-135.37888198757764</c:v>
                </c:pt>
                <c:pt idx="16">
                  <c:v>-831.37888198757764</c:v>
                </c:pt>
                <c:pt idx="17">
                  <c:v>-683.41200828157343</c:v>
                </c:pt>
                <c:pt idx="18">
                  <c:v>-225.41200828157343</c:v>
                </c:pt>
                <c:pt idx="19">
                  <c:v>611.58799171842657</c:v>
                </c:pt>
                <c:pt idx="20">
                  <c:v>-401.41200828157343</c:v>
                </c:pt>
                <c:pt idx="21">
                  <c:v>322.56728778467914</c:v>
                </c:pt>
                <c:pt idx="22">
                  <c:v>1073.5672877846791</c:v>
                </c:pt>
                <c:pt idx="23">
                  <c:v>-1881.3830227743274</c:v>
                </c:pt>
                <c:pt idx="24">
                  <c:v>-1024.4327122153209</c:v>
                </c:pt>
                <c:pt idx="25">
                  <c:v>-127.43271221532086</c:v>
                </c:pt>
                <c:pt idx="26">
                  <c:v>-783.43271221532086</c:v>
                </c:pt>
                <c:pt idx="27">
                  <c:v>-689.44513457556968</c:v>
                </c:pt>
                <c:pt idx="28">
                  <c:v>423.54658385093171</c:v>
                </c:pt>
                <c:pt idx="29">
                  <c:v>-987.43685300207017</c:v>
                </c:pt>
                <c:pt idx="30">
                  <c:v>-286.46997929606641</c:v>
                </c:pt>
                <c:pt idx="31">
                  <c:v>-635.44927536231899</c:v>
                </c:pt>
                <c:pt idx="32">
                  <c:v>-252.47826086956502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6-4D4F-8110-ACFF113AF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1709120"/>
        <c:axId val="171709512"/>
      </c:barChart>
      <c:lineChart>
        <c:grouping val="standard"/>
        <c:varyColors val="0"/>
        <c:ser>
          <c:idx val="1"/>
          <c:order val="1"/>
          <c:tx>
            <c:strRef>
              <c:f>摂取カロリーと体重増減関係!$C$1</c:f>
              <c:strCache>
                <c:ptCount val="1"/>
                <c:pt idx="0">
                  <c:v>体重増減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摂取カロリーと体重増減関係!$A$2:$A$34</c:f>
              <c:numCache>
                <c:formatCode>m"月"d"日";@</c:formatCode>
                <c:ptCount val="33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</c:numCache>
            </c:numRef>
          </c:cat>
          <c:val>
            <c:numRef>
              <c:f>摂取カロリーと体重増減関係!$C$2:$C$34</c:f>
              <c:numCache>
                <c:formatCode>General</c:formatCode>
                <c:ptCount val="33"/>
                <c:pt idx="1">
                  <c:v>0</c:v>
                </c:pt>
                <c:pt idx="2">
                  <c:v>0.59999999999999432</c:v>
                </c:pt>
                <c:pt idx="3">
                  <c:v>-0.59999999999999432</c:v>
                </c:pt>
                <c:pt idx="4">
                  <c:v>-1</c:v>
                </c:pt>
                <c:pt idx="5">
                  <c:v>0</c:v>
                </c:pt>
                <c:pt idx="6">
                  <c:v>0</c:v>
                </c:pt>
                <c:pt idx="7">
                  <c:v>0.19999999999998863</c:v>
                </c:pt>
                <c:pt idx="8">
                  <c:v>-0.79999999999999716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</c:v>
                </c:pt>
                <c:pt idx="13">
                  <c:v>-0.70000000000000284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-0.79999999999999716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-0.5</c:v>
                </c:pt>
                <c:pt idx="22">
                  <c:v>0</c:v>
                </c:pt>
                <c:pt idx="23">
                  <c:v>1.2000000000000028</c:v>
                </c:pt>
                <c:pt idx="24">
                  <c:v>-1.2000000000000028</c:v>
                </c:pt>
                <c:pt idx="25">
                  <c:v>0</c:v>
                </c:pt>
                <c:pt idx="26">
                  <c:v>0</c:v>
                </c:pt>
                <c:pt idx="27">
                  <c:v>-0.29999999999999716</c:v>
                </c:pt>
                <c:pt idx="28">
                  <c:v>-0.20000000000000284</c:v>
                </c:pt>
                <c:pt idx="29">
                  <c:v>0.40000000000000568</c:v>
                </c:pt>
                <c:pt idx="30">
                  <c:v>-0.79999999999999716</c:v>
                </c:pt>
                <c:pt idx="31">
                  <c:v>0.5</c:v>
                </c:pt>
                <c:pt idx="32">
                  <c:v>-0.70000000000000284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6-4D4F-8110-ACFF113AF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0688"/>
        <c:axId val="171709904"/>
      </c:lineChart>
      <c:dateAx>
        <c:axId val="171709120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512"/>
        <c:crosses val="autoZero"/>
        <c:auto val="1"/>
        <c:lblOffset val="100"/>
        <c:baseTimeUnit val="days"/>
      </c:dateAx>
      <c:valAx>
        <c:axId val="171709512"/>
        <c:scaling>
          <c:orientation val="minMax"/>
          <c:max val="15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120"/>
        <c:crosses val="autoZero"/>
        <c:crossBetween val="between"/>
      </c:valAx>
      <c:valAx>
        <c:axId val="171709904"/>
        <c:scaling>
          <c:orientation val="minMax"/>
          <c:min val="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0688"/>
        <c:crosses val="max"/>
        <c:crossBetween val="between"/>
      </c:valAx>
      <c:dateAx>
        <c:axId val="171710688"/>
        <c:scaling>
          <c:orientation val="minMax"/>
        </c:scaling>
        <c:delete val="1"/>
        <c:axPos val="b"/>
        <c:numFmt formatCode="m&quot;月&quot;d&quot;日&quot;;@" sourceLinked="1"/>
        <c:majorTickMark val="out"/>
        <c:minorTickMark val="none"/>
        <c:tickLblPos val="nextTo"/>
        <c:crossAx val="17170990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-3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u="sng"/>
              <a:t>４月２５日～５月２７日（▲４．２ｋｇ）（平均▲４２７</a:t>
            </a:r>
            <a:r>
              <a:rPr lang="en-US" altLang="ja-JP" sz="1600" u="sng"/>
              <a:t>.</a:t>
            </a:r>
            <a:r>
              <a:rPr lang="ja-JP" altLang="en-US" sz="1600" u="sng"/>
              <a:t>７</a:t>
            </a:r>
            <a:r>
              <a:rPr lang="en-US" altLang="ja-JP" sz="1600" u="sng"/>
              <a:t>kcal/</a:t>
            </a:r>
            <a:r>
              <a:rPr lang="ja-JP" altLang="en-US" sz="1600" u="sng"/>
              <a:t>日）</a:t>
            </a:r>
            <a:endParaRPr lang="ja-JP" altLang="en-US" sz="1600"/>
          </a:p>
        </c:rich>
      </c:tx>
      <c:layout>
        <c:manualLayout>
          <c:xMode val="edge"/>
          <c:yMode val="edge"/>
          <c:x val="0.22972754254889807"/>
          <c:y val="3.5307629760768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'(前々日と前日)のカロリー差合算と当日朝体重増減関係'!$B$1</c:f>
              <c:strCache>
                <c:ptCount val="1"/>
                <c:pt idx="0">
                  <c:v>左軸：前々日と前日の摂取と摂取目標カロリー差合算(kcal)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'(前々日と前日)のカロリー差合算と当日朝体重増減関係'!$A$2:$A$34</c:f>
              <c:numCache>
                <c:formatCode>m"月"d"日";@</c:formatCode>
                <c:ptCount val="33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</c:numCache>
            </c:numRef>
          </c:cat>
          <c:val>
            <c:numRef>
              <c:f>'(前々日と前日)のカロリー差合算と当日朝体重増減関係'!$B$2:$B$34</c:f>
              <c:numCache>
                <c:formatCode>0.0_ </c:formatCode>
                <c:ptCount val="33"/>
                <c:pt idx="2">
                  <c:v>-1062.608695652174</c:v>
                </c:pt>
                <c:pt idx="3">
                  <c:v>-993.58385093167681</c:v>
                </c:pt>
                <c:pt idx="4">
                  <c:v>-2378.5838509316768</c:v>
                </c:pt>
                <c:pt idx="5">
                  <c:v>-2278.6501035196688</c:v>
                </c:pt>
                <c:pt idx="6">
                  <c:v>-1270.6915113871637</c:v>
                </c:pt>
                <c:pt idx="7">
                  <c:v>483.3084886128363</c:v>
                </c:pt>
                <c:pt idx="8">
                  <c:v>-305.68322981366464</c:v>
                </c:pt>
                <c:pt idx="9">
                  <c:v>-1316.7080745341618</c:v>
                </c:pt>
                <c:pt idx="10">
                  <c:v>-1276.7412008281581</c:v>
                </c:pt>
                <c:pt idx="11">
                  <c:v>-1423.7412008281581</c:v>
                </c:pt>
                <c:pt idx="12">
                  <c:v>-534.74120082815807</c:v>
                </c:pt>
                <c:pt idx="13">
                  <c:v>-1335.7204968944106</c:v>
                </c:pt>
                <c:pt idx="14">
                  <c:v>-1903.7287784679093</c:v>
                </c:pt>
                <c:pt idx="15">
                  <c:v>525.24223602484471</c:v>
                </c:pt>
                <c:pt idx="16">
                  <c:v>996.24223602484471</c:v>
                </c:pt>
                <c:pt idx="17">
                  <c:v>-966.75776397515529</c:v>
                </c:pt>
                <c:pt idx="18">
                  <c:v>-1514.7908902691511</c:v>
                </c:pt>
                <c:pt idx="19">
                  <c:v>-908.82401656314687</c:v>
                </c:pt>
                <c:pt idx="20">
                  <c:v>386.17598343685313</c:v>
                </c:pt>
                <c:pt idx="21">
                  <c:v>210.17598343685313</c:v>
                </c:pt>
                <c:pt idx="22">
                  <c:v>-78.844720496894297</c:v>
                </c:pt>
                <c:pt idx="23">
                  <c:v>1396.1345755693583</c:v>
                </c:pt>
                <c:pt idx="24">
                  <c:v>-807.81573498964826</c:v>
                </c:pt>
                <c:pt idx="25">
                  <c:v>-2905.8157349896483</c:v>
                </c:pt>
                <c:pt idx="26">
                  <c:v>-1151.8654244306417</c:v>
                </c:pt>
                <c:pt idx="27">
                  <c:v>-910.86542443064172</c:v>
                </c:pt>
                <c:pt idx="28">
                  <c:v>-1472.8778467908905</c:v>
                </c:pt>
                <c:pt idx="29">
                  <c:v>-265.89855072463797</c:v>
                </c:pt>
                <c:pt idx="30">
                  <c:v>-563.89026915113845</c:v>
                </c:pt>
                <c:pt idx="31">
                  <c:v>-1273.9068322981366</c:v>
                </c:pt>
                <c:pt idx="32">
                  <c:v>-921.9192546583854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3-4194-B153-2313B8DC1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1709120"/>
        <c:axId val="171709512"/>
      </c:barChart>
      <c:lineChart>
        <c:grouping val="standard"/>
        <c:varyColors val="0"/>
        <c:ser>
          <c:idx val="2"/>
          <c:order val="2"/>
          <c:tx>
            <c:strRef>
              <c:f>'(前々日と前日)のカロリー差合算と当日朝体重増減関係'!$D$1</c:f>
              <c:strCache>
                <c:ptCount val="1"/>
                <c:pt idx="0">
                  <c:v>１日の目標運動量330(kcal)に対する前々日と前日の合算運動量差(kcal)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'(前々日と前日)のカロリー差合算と当日朝体重増減関係'!$A$2:$A$34</c:f>
              <c:numCache>
                <c:formatCode>m"月"d"日";@</c:formatCode>
                <c:ptCount val="33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</c:numCache>
            </c:numRef>
          </c:cat>
          <c:val>
            <c:numRef>
              <c:f>'(前々日と前日)のカロリー差合算と当日朝体重増減関係'!$D$2:$D$34</c:f>
              <c:numCache>
                <c:formatCode>General</c:formatCode>
                <c:ptCount val="33"/>
                <c:pt idx="2">
                  <c:v>-174</c:v>
                </c:pt>
                <c:pt idx="3">
                  <c:v>-139</c:v>
                </c:pt>
                <c:pt idx="4">
                  <c:v>188</c:v>
                </c:pt>
                <c:pt idx="5">
                  <c:v>240</c:v>
                </c:pt>
                <c:pt idx="6">
                  <c:v>-124</c:v>
                </c:pt>
                <c:pt idx="7">
                  <c:v>11</c:v>
                </c:pt>
                <c:pt idx="8">
                  <c:v>80</c:v>
                </c:pt>
                <c:pt idx="9">
                  <c:v>-191</c:v>
                </c:pt>
                <c:pt idx="10">
                  <c:v>367</c:v>
                </c:pt>
                <c:pt idx="11">
                  <c:v>1179</c:v>
                </c:pt>
                <c:pt idx="12">
                  <c:v>948</c:v>
                </c:pt>
                <c:pt idx="13">
                  <c:v>600</c:v>
                </c:pt>
                <c:pt idx="14">
                  <c:v>146</c:v>
                </c:pt>
                <c:pt idx="15">
                  <c:v>-115</c:v>
                </c:pt>
                <c:pt idx="16">
                  <c:v>-149</c:v>
                </c:pt>
                <c:pt idx="17">
                  <c:v>-203</c:v>
                </c:pt>
                <c:pt idx="18">
                  <c:v>256</c:v>
                </c:pt>
                <c:pt idx="19">
                  <c:v>465</c:v>
                </c:pt>
                <c:pt idx="20">
                  <c:v>661</c:v>
                </c:pt>
                <c:pt idx="21">
                  <c:v>464</c:v>
                </c:pt>
                <c:pt idx="22">
                  <c:v>255</c:v>
                </c:pt>
                <c:pt idx="23">
                  <c:v>589</c:v>
                </c:pt>
                <c:pt idx="24">
                  <c:v>777</c:v>
                </c:pt>
                <c:pt idx="25">
                  <c:v>744</c:v>
                </c:pt>
                <c:pt idx="26">
                  <c:v>69</c:v>
                </c:pt>
                <c:pt idx="27">
                  <c:v>-208</c:v>
                </c:pt>
                <c:pt idx="28">
                  <c:v>161</c:v>
                </c:pt>
                <c:pt idx="29">
                  <c:v>354</c:v>
                </c:pt>
                <c:pt idx="30">
                  <c:v>144</c:v>
                </c:pt>
                <c:pt idx="31">
                  <c:v>-35</c:v>
                </c:pt>
                <c:pt idx="3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5-4A7F-BD54-373D877B9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9120"/>
        <c:axId val="171709512"/>
      </c:lineChart>
      <c:lineChart>
        <c:grouping val="standard"/>
        <c:varyColors val="0"/>
        <c:ser>
          <c:idx val="1"/>
          <c:order val="1"/>
          <c:tx>
            <c:strRef>
              <c:f>'(前々日と前日)のカロリー差合算と当日朝体重増減関係'!$C$1</c:f>
              <c:strCache>
                <c:ptCount val="1"/>
                <c:pt idx="0">
                  <c:v>右軸：体重増減(kg)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'(前々日と前日)のカロリー差合算と当日朝体重増減関係'!$A$2:$A$34</c:f>
              <c:numCache>
                <c:formatCode>m"月"d"日";@</c:formatCode>
                <c:ptCount val="33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</c:numCache>
            </c:numRef>
          </c:cat>
          <c:val>
            <c:numRef>
              <c:f>'(前々日と前日)のカロリー差合算と当日朝体重増減関係'!$C$2:$C$34</c:f>
              <c:numCache>
                <c:formatCode>General</c:formatCode>
                <c:ptCount val="33"/>
                <c:pt idx="1">
                  <c:v>0</c:v>
                </c:pt>
                <c:pt idx="2">
                  <c:v>0.59999999999999432</c:v>
                </c:pt>
                <c:pt idx="3">
                  <c:v>-0.59999999999999432</c:v>
                </c:pt>
                <c:pt idx="4">
                  <c:v>-1</c:v>
                </c:pt>
                <c:pt idx="5">
                  <c:v>0</c:v>
                </c:pt>
                <c:pt idx="6">
                  <c:v>0</c:v>
                </c:pt>
                <c:pt idx="7">
                  <c:v>0.19999999999998863</c:v>
                </c:pt>
                <c:pt idx="8">
                  <c:v>-0.79999999999999716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</c:v>
                </c:pt>
                <c:pt idx="13">
                  <c:v>-0.70000000000000284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-0.79999999999999716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-0.5</c:v>
                </c:pt>
                <c:pt idx="22">
                  <c:v>0</c:v>
                </c:pt>
                <c:pt idx="23">
                  <c:v>1.2000000000000028</c:v>
                </c:pt>
                <c:pt idx="24">
                  <c:v>-1.2000000000000028</c:v>
                </c:pt>
                <c:pt idx="25">
                  <c:v>0</c:v>
                </c:pt>
                <c:pt idx="26">
                  <c:v>0</c:v>
                </c:pt>
                <c:pt idx="27">
                  <c:v>-0.29999999999999716</c:v>
                </c:pt>
                <c:pt idx="28">
                  <c:v>-0.20000000000000284</c:v>
                </c:pt>
                <c:pt idx="29">
                  <c:v>0.40000000000000568</c:v>
                </c:pt>
                <c:pt idx="30">
                  <c:v>-0.79999999999999716</c:v>
                </c:pt>
                <c:pt idx="31">
                  <c:v>0.5</c:v>
                </c:pt>
                <c:pt idx="32">
                  <c:v>-0.70000000000000284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3-4194-B153-2313B8DC1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0688"/>
        <c:axId val="171709904"/>
      </c:lineChart>
      <c:dateAx>
        <c:axId val="171709120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512"/>
        <c:crosses val="autoZero"/>
        <c:auto val="1"/>
        <c:lblOffset val="100"/>
        <c:baseTimeUnit val="days"/>
      </c:dateAx>
      <c:valAx>
        <c:axId val="171709512"/>
        <c:scaling>
          <c:orientation val="minMax"/>
          <c:max val="15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120"/>
        <c:crosses val="autoZero"/>
        <c:crossBetween val="between"/>
      </c:valAx>
      <c:valAx>
        <c:axId val="171709904"/>
        <c:scaling>
          <c:orientation val="minMax"/>
          <c:min val="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0688"/>
        <c:crosses val="max"/>
        <c:crossBetween val="between"/>
      </c:valAx>
      <c:dateAx>
        <c:axId val="171710688"/>
        <c:scaling>
          <c:orientation val="minMax"/>
        </c:scaling>
        <c:delete val="1"/>
        <c:axPos val="b"/>
        <c:numFmt formatCode="m&quot;月&quot;d&quot;日&quot;;@" sourceLinked="1"/>
        <c:majorTickMark val="out"/>
        <c:minorTickMark val="none"/>
        <c:tickLblPos val="nextTo"/>
        <c:crossAx val="17170990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u="sng"/>
              <a:t>５月２７日～６月３０日（▲１．６ｋｇ）</a:t>
            </a:r>
            <a:r>
              <a:rPr lang="ja-JP" altLang="ja-JP" sz="1600" b="0" i="0" u="sng" strike="noStrike" baseline="0">
                <a:effectLst/>
              </a:rPr>
              <a:t>（平均▲</a:t>
            </a:r>
            <a:r>
              <a:rPr lang="ja-JP" altLang="en-US" sz="1600" b="0" i="0" u="sng" strike="noStrike" baseline="0">
                <a:effectLst/>
              </a:rPr>
              <a:t>３２９</a:t>
            </a:r>
            <a:r>
              <a:rPr lang="en-US" altLang="ja-JP" sz="1600" b="0" i="0" u="sng" strike="noStrike" baseline="0">
                <a:effectLst/>
              </a:rPr>
              <a:t>.</a:t>
            </a:r>
            <a:r>
              <a:rPr lang="ja-JP" altLang="en-US" sz="1600" b="0" i="0" u="sng" strike="noStrike" baseline="0">
                <a:effectLst/>
              </a:rPr>
              <a:t>１</a:t>
            </a:r>
            <a:r>
              <a:rPr lang="en-US" altLang="ja-JP" sz="1600" b="0" i="0" u="sng" strike="noStrike" baseline="0">
                <a:effectLst/>
              </a:rPr>
              <a:t>kcal/</a:t>
            </a:r>
            <a:r>
              <a:rPr lang="ja-JP" altLang="ja-JP" sz="1600" b="0" i="0" u="sng" strike="noStrike" baseline="0">
                <a:effectLst/>
              </a:rPr>
              <a:t>日）</a:t>
            </a:r>
            <a:endParaRPr lang="en-US" altLang="ja-JP" sz="1600" b="0" i="0" u="sng" strike="noStrike" baseline="0">
              <a:effectLst/>
            </a:endParaRPr>
          </a:p>
          <a:p>
            <a:pPr algn="ctr">
              <a:defRPr sz="1600"/>
            </a:pPr>
            <a:r>
              <a:rPr lang="ja-JP" altLang="en-US" sz="1600" u="sng"/>
              <a:t>／４月２５日～（▲５．８ｋｇ）</a:t>
            </a:r>
            <a:r>
              <a:rPr lang="ja-JP" altLang="ja-JP" sz="1600" b="0" i="0" u="sng" strike="noStrike" baseline="0">
                <a:effectLst/>
              </a:rPr>
              <a:t>（平均▲</a:t>
            </a:r>
            <a:r>
              <a:rPr lang="ja-JP" altLang="en-US" sz="1600" b="0" i="0" u="sng" strike="noStrike" baseline="0">
                <a:effectLst/>
              </a:rPr>
              <a:t>３７８</a:t>
            </a:r>
            <a:r>
              <a:rPr lang="en-US" altLang="ja-JP" sz="1600" b="0" i="0" u="sng" strike="noStrike" baseline="0">
                <a:effectLst/>
              </a:rPr>
              <a:t>.</a:t>
            </a:r>
            <a:r>
              <a:rPr lang="ja-JP" altLang="en-US" sz="1600" b="0" i="0" u="sng" strike="noStrike" baseline="0">
                <a:effectLst/>
              </a:rPr>
              <a:t>８</a:t>
            </a:r>
            <a:r>
              <a:rPr lang="en-US" altLang="ja-JP" sz="1600" b="0" i="0" u="sng" strike="noStrike" baseline="0">
                <a:effectLst/>
              </a:rPr>
              <a:t>kcal/</a:t>
            </a:r>
            <a:r>
              <a:rPr lang="ja-JP" altLang="ja-JP" sz="1600" b="0" i="0" u="sng" strike="noStrike" baseline="0">
                <a:effectLst/>
              </a:rPr>
              <a:t>日）</a:t>
            </a:r>
            <a:endParaRPr lang="en-US" altLang="ja-JP" sz="1600" u="sng"/>
          </a:p>
        </c:rich>
      </c:tx>
      <c:layout>
        <c:manualLayout>
          <c:xMode val="edge"/>
          <c:yMode val="edge"/>
          <c:x val="0.19462161568093966"/>
          <c:y val="3.3313322266789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'(前々日と前日)のカロリー差合算と当日朝体重増減関係'!$B$1</c:f>
              <c:strCache>
                <c:ptCount val="1"/>
                <c:pt idx="0">
                  <c:v>左軸：前々日と前日の摂取と摂取目標カロリー差合算(kcal)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'(前々日と前日)のカロリー差合算と当日朝体重増減関係'!$A$34:$A$67</c:f>
              <c:numCache>
                <c:formatCode>m"月"d"日";@</c:formatCode>
                <c:ptCount val="34"/>
                <c:pt idx="0">
                  <c:v>42517</c:v>
                </c:pt>
                <c:pt idx="1">
                  <c:v>42518</c:v>
                </c:pt>
                <c:pt idx="2">
                  <c:v>42519</c:v>
                </c:pt>
                <c:pt idx="3">
                  <c:v>42520</c:v>
                </c:pt>
                <c:pt idx="4">
                  <c:v>42521</c:v>
                </c:pt>
                <c:pt idx="5">
                  <c:v>42522</c:v>
                </c:pt>
                <c:pt idx="6">
                  <c:v>42523</c:v>
                </c:pt>
                <c:pt idx="7">
                  <c:v>42524</c:v>
                </c:pt>
                <c:pt idx="8">
                  <c:v>42525</c:v>
                </c:pt>
                <c:pt idx="9">
                  <c:v>42526</c:v>
                </c:pt>
                <c:pt idx="10">
                  <c:v>42527</c:v>
                </c:pt>
                <c:pt idx="11">
                  <c:v>42528</c:v>
                </c:pt>
                <c:pt idx="12">
                  <c:v>42529</c:v>
                </c:pt>
                <c:pt idx="13">
                  <c:v>42530</c:v>
                </c:pt>
                <c:pt idx="14">
                  <c:v>42531</c:v>
                </c:pt>
                <c:pt idx="15">
                  <c:v>42532</c:v>
                </c:pt>
                <c:pt idx="16">
                  <c:v>42533</c:v>
                </c:pt>
                <c:pt idx="17">
                  <c:v>42534</c:v>
                </c:pt>
                <c:pt idx="18">
                  <c:v>42535</c:v>
                </c:pt>
                <c:pt idx="19">
                  <c:v>42536</c:v>
                </c:pt>
                <c:pt idx="20">
                  <c:v>42537</c:v>
                </c:pt>
                <c:pt idx="21">
                  <c:v>42538</c:v>
                </c:pt>
                <c:pt idx="22">
                  <c:v>42539</c:v>
                </c:pt>
                <c:pt idx="23">
                  <c:v>42540</c:v>
                </c:pt>
                <c:pt idx="24">
                  <c:v>42541</c:v>
                </c:pt>
                <c:pt idx="25">
                  <c:v>42542</c:v>
                </c:pt>
                <c:pt idx="26">
                  <c:v>42543</c:v>
                </c:pt>
                <c:pt idx="27">
                  <c:v>42544</c:v>
                </c:pt>
                <c:pt idx="28">
                  <c:v>42545</c:v>
                </c:pt>
                <c:pt idx="29">
                  <c:v>42546</c:v>
                </c:pt>
                <c:pt idx="30">
                  <c:v>42547</c:v>
                </c:pt>
                <c:pt idx="31">
                  <c:v>42548</c:v>
                </c:pt>
                <c:pt idx="32">
                  <c:v>42549</c:v>
                </c:pt>
                <c:pt idx="33">
                  <c:v>42550</c:v>
                </c:pt>
              </c:numCache>
            </c:numRef>
          </c:cat>
          <c:val>
            <c:numRef>
              <c:f>'(前々日と前日)のカロリー差合算と当日朝体重増減関係'!$B$34:$B$67</c:f>
              <c:numCache>
                <c:formatCode>0.0_ </c:formatCode>
                <c:ptCount val="34"/>
                <c:pt idx="0">
                  <c:v>-921.9192546583854</c:v>
                </c:pt>
                <c:pt idx="1">
                  <c:v>-887.92753623188401</c:v>
                </c:pt>
                <c:pt idx="2">
                  <c:v>-693.93581780538261</c:v>
                </c:pt>
                <c:pt idx="3">
                  <c:v>-1870.9151138716352</c:v>
                </c:pt>
                <c:pt idx="4">
                  <c:v>-1769.927536231884</c:v>
                </c:pt>
                <c:pt idx="5">
                  <c:v>-69.939958592132825</c:v>
                </c:pt>
                <c:pt idx="6">
                  <c:v>-420.90683229813658</c:v>
                </c:pt>
                <c:pt idx="7">
                  <c:v>-859.90683229813658</c:v>
                </c:pt>
                <c:pt idx="8">
                  <c:v>360.05590062111787</c:v>
                </c:pt>
                <c:pt idx="9">
                  <c:v>225.05590062111787</c:v>
                </c:pt>
                <c:pt idx="10">
                  <c:v>-341.9233954451347</c:v>
                </c:pt>
                <c:pt idx="11">
                  <c:v>441.09316770186342</c:v>
                </c:pt>
                <c:pt idx="12">
                  <c:v>-201.89026915113845</c:v>
                </c:pt>
                <c:pt idx="13">
                  <c:v>-1151.9026915113873</c:v>
                </c:pt>
                <c:pt idx="14">
                  <c:v>-892.93167701863422</c:v>
                </c:pt>
                <c:pt idx="15">
                  <c:v>-656.95652173913095</c:v>
                </c:pt>
                <c:pt idx="16">
                  <c:v>-313.96066252588025</c:v>
                </c:pt>
                <c:pt idx="17">
                  <c:v>-349.95238095238074</c:v>
                </c:pt>
                <c:pt idx="18">
                  <c:v>-166.96480331262865</c:v>
                </c:pt>
                <c:pt idx="19">
                  <c:v>-134.94824016563143</c:v>
                </c:pt>
                <c:pt idx="20">
                  <c:v>-1125.9109730848868</c:v>
                </c:pt>
                <c:pt idx="21">
                  <c:v>-1487.9482401656323</c:v>
                </c:pt>
                <c:pt idx="22">
                  <c:v>-446.00621118012532</c:v>
                </c:pt>
                <c:pt idx="23">
                  <c:v>-460.98550724637698</c:v>
                </c:pt>
                <c:pt idx="24">
                  <c:v>-1499.9896480331263</c:v>
                </c:pt>
                <c:pt idx="25">
                  <c:v>-1119.0351966873704</c:v>
                </c:pt>
                <c:pt idx="26">
                  <c:v>-968.05590062111696</c:v>
                </c:pt>
                <c:pt idx="27">
                  <c:v>-939.05590062111696</c:v>
                </c:pt>
                <c:pt idx="28">
                  <c:v>243.93167701863422</c:v>
                </c:pt>
                <c:pt idx="29">
                  <c:v>-82.055900621117871</c:v>
                </c:pt>
                <c:pt idx="30">
                  <c:v>-1059.0476190476193</c:v>
                </c:pt>
                <c:pt idx="31">
                  <c:v>-1229.0641821946174</c:v>
                </c:pt>
                <c:pt idx="32">
                  <c:v>-1116.0641821946174</c:v>
                </c:pt>
                <c:pt idx="33">
                  <c:v>-804.06418219461739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2-4E69-9498-D6EF8ACBB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1709120"/>
        <c:axId val="171709512"/>
      </c:barChart>
      <c:lineChart>
        <c:grouping val="standard"/>
        <c:varyColors val="0"/>
        <c:ser>
          <c:idx val="2"/>
          <c:order val="2"/>
          <c:tx>
            <c:strRef>
              <c:f>'(前々日と前日)のカロリー差合算と当日朝体重増減関係'!$D$1</c:f>
              <c:strCache>
                <c:ptCount val="1"/>
                <c:pt idx="0">
                  <c:v>１日の目標運動量330(kcal)に対する前々日と前日の合算運動量差(kcal)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'(前々日と前日)のカロリー差合算と当日朝体重増減関係'!$A$34:$A$67</c:f>
              <c:numCache>
                <c:formatCode>m"月"d"日";@</c:formatCode>
                <c:ptCount val="34"/>
                <c:pt idx="0">
                  <c:v>42517</c:v>
                </c:pt>
                <c:pt idx="1">
                  <c:v>42518</c:v>
                </c:pt>
                <c:pt idx="2">
                  <c:v>42519</c:v>
                </c:pt>
                <c:pt idx="3">
                  <c:v>42520</c:v>
                </c:pt>
                <c:pt idx="4">
                  <c:v>42521</c:v>
                </c:pt>
                <c:pt idx="5">
                  <c:v>42522</c:v>
                </c:pt>
                <c:pt idx="6">
                  <c:v>42523</c:v>
                </c:pt>
                <c:pt idx="7">
                  <c:v>42524</c:v>
                </c:pt>
                <c:pt idx="8">
                  <c:v>42525</c:v>
                </c:pt>
                <c:pt idx="9">
                  <c:v>42526</c:v>
                </c:pt>
                <c:pt idx="10">
                  <c:v>42527</c:v>
                </c:pt>
                <c:pt idx="11">
                  <c:v>42528</c:v>
                </c:pt>
                <c:pt idx="12">
                  <c:v>42529</c:v>
                </c:pt>
                <c:pt idx="13">
                  <c:v>42530</c:v>
                </c:pt>
                <c:pt idx="14">
                  <c:v>42531</c:v>
                </c:pt>
                <c:pt idx="15">
                  <c:v>42532</c:v>
                </c:pt>
                <c:pt idx="16">
                  <c:v>42533</c:v>
                </c:pt>
                <c:pt idx="17">
                  <c:v>42534</c:v>
                </c:pt>
                <c:pt idx="18">
                  <c:v>42535</c:v>
                </c:pt>
                <c:pt idx="19">
                  <c:v>42536</c:v>
                </c:pt>
                <c:pt idx="20">
                  <c:v>42537</c:v>
                </c:pt>
                <c:pt idx="21">
                  <c:v>42538</c:v>
                </c:pt>
                <c:pt idx="22">
                  <c:v>42539</c:v>
                </c:pt>
                <c:pt idx="23">
                  <c:v>42540</c:v>
                </c:pt>
                <c:pt idx="24">
                  <c:v>42541</c:v>
                </c:pt>
                <c:pt idx="25">
                  <c:v>42542</c:v>
                </c:pt>
                <c:pt idx="26">
                  <c:v>42543</c:v>
                </c:pt>
                <c:pt idx="27">
                  <c:v>42544</c:v>
                </c:pt>
                <c:pt idx="28">
                  <c:v>42545</c:v>
                </c:pt>
                <c:pt idx="29">
                  <c:v>42546</c:v>
                </c:pt>
                <c:pt idx="30">
                  <c:v>42547</c:v>
                </c:pt>
                <c:pt idx="31">
                  <c:v>42548</c:v>
                </c:pt>
                <c:pt idx="32">
                  <c:v>42549</c:v>
                </c:pt>
                <c:pt idx="33">
                  <c:v>42550</c:v>
                </c:pt>
              </c:numCache>
            </c:numRef>
          </c:cat>
          <c:val>
            <c:numRef>
              <c:f>'(前々日と前日)のカロリー差合算と当日朝体重増減関係'!$D$34:$D$67</c:f>
              <c:numCache>
                <c:formatCode>General</c:formatCode>
                <c:ptCount val="34"/>
                <c:pt idx="0">
                  <c:v>16</c:v>
                </c:pt>
                <c:pt idx="1">
                  <c:v>58</c:v>
                </c:pt>
                <c:pt idx="2">
                  <c:v>219</c:v>
                </c:pt>
                <c:pt idx="3">
                  <c:v>718</c:v>
                </c:pt>
                <c:pt idx="4">
                  <c:v>373</c:v>
                </c:pt>
                <c:pt idx="5">
                  <c:v>-68</c:v>
                </c:pt>
                <c:pt idx="6">
                  <c:v>636</c:v>
                </c:pt>
                <c:pt idx="7">
                  <c:v>747</c:v>
                </c:pt>
                <c:pt idx="8">
                  <c:v>455</c:v>
                </c:pt>
                <c:pt idx="9">
                  <c:v>630</c:v>
                </c:pt>
                <c:pt idx="10">
                  <c:v>517</c:v>
                </c:pt>
                <c:pt idx="11">
                  <c:v>383</c:v>
                </c:pt>
                <c:pt idx="12">
                  <c:v>436</c:v>
                </c:pt>
                <c:pt idx="13">
                  <c:v>309</c:v>
                </c:pt>
                <c:pt idx="14">
                  <c:v>228</c:v>
                </c:pt>
                <c:pt idx="15">
                  <c:v>363</c:v>
                </c:pt>
                <c:pt idx="16">
                  <c:v>471</c:v>
                </c:pt>
                <c:pt idx="17">
                  <c:v>268</c:v>
                </c:pt>
                <c:pt idx="18">
                  <c:v>250</c:v>
                </c:pt>
                <c:pt idx="19">
                  <c:v>517</c:v>
                </c:pt>
                <c:pt idx="20">
                  <c:v>647</c:v>
                </c:pt>
                <c:pt idx="21">
                  <c:v>511</c:v>
                </c:pt>
                <c:pt idx="22">
                  <c:v>420</c:v>
                </c:pt>
                <c:pt idx="23">
                  <c:v>405</c:v>
                </c:pt>
                <c:pt idx="24">
                  <c:v>920</c:v>
                </c:pt>
                <c:pt idx="25">
                  <c:v>756</c:v>
                </c:pt>
                <c:pt idx="26">
                  <c:v>626</c:v>
                </c:pt>
                <c:pt idx="27">
                  <c:v>676</c:v>
                </c:pt>
                <c:pt idx="28">
                  <c:v>168</c:v>
                </c:pt>
                <c:pt idx="29">
                  <c:v>622</c:v>
                </c:pt>
                <c:pt idx="30">
                  <c:v>1020</c:v>
                </c:pt>
                <c:pt idx="31">
                  <c:v>603</c:v>
                </c:pt>
                <c:pt idx="32">
                  <c:v>171</c:v>
                </c:pt>
                <c:pt idx="33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14-4733-B15D-009525BBB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9120"/>
        <c:axId val="171709512"/>
      </c:lineChart>
      <c:lineChart>
        <c:grouping val="standard"/>
        <c:varyColors val="0"/>
        <c:ser>
          <c:idx val="1"/>
          <c:order val="1"/>
          <c:tx>
            <c:strRef>
              <c:f>'(前々日と前日)のカロリー差合算と当日朝体重増減関係'!$C$1</c:f>
              <c:strCache>
                <c:ptCount val="1"/>
                <c:pt idx="0">
                  <c:v>右軸：体重増減(kg)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'(前々日と前日)のカロリー差合算と当日朝体重増減関係'!$A$34:$A$67</c:f>
              <c:numCache>
                <c:formatCode>m"月"d"日";@</c:formatCode>
                <c:ptCount val="34"/>
                <c:pt idx="0">
                  <c:v>42517</c:v>
                </c:pt>
                <c:pt idx="1">
                  <c:v>42518</c:v>
                </c:pt>
                <c:pt idx="2">
                  <c:v>42519</c:v>
                </c:pt>
                <c:pt idx="3">
                  <c:v>42520</c:v>
                </c:pt>
                <c:pt idx="4">
                  <c:v>42521</c:v>
                </c:pt>
                <c:pt idx="5">
                  <c:v>42522</c:v>
                </c:pt>
                <c:pt idx="6">
                  <c:v>42523</c:v>
                </c:pt>
                <c:pt idx="7">
                  <c:v>42524</c:v>
                </c:pt>
                <c:pt idx="8">
                  <c:v>42525</c:v>
                </c:pt>
                <c:pt idx="9">
                  <c:v>42526</c:v>
                </c:pt>
                <c:pt idx="10">
                  <c:v>42527</c:v>
                </c:pt>
                <c:pt idx="11">
                  <c:v>42528</c:v>
                </c:pt>
                <c:pt idx="12">
                  <c:v>42529</c:v>
                </c:pt>
                <c:pt idx="13">
                  <c:v>42530</c:v>
                </c:pt>
                <c:pt idx="14">
                  <c:v>42531</c:v>
                </c:pt>
                <c:pt idx="15">
                  <c:v>42532</c:v>
                </c:pt>
                <c:pt idx="16">
                  <c:v>42533</c:v>
                </c:pt>
                <c:pt idx="17">
                  <c:v>42534</c:v>
                </c:pt>
                <c:pt idx="18">
                  <c:v>42535</c:v>
                </c:pt>
                <c:pt idx="19">
                  <c:v>42536</c:v>
                </c:pt>
                <c:pt idx="20">
                  <c:v>42537</c:v>
                </c:pt>
                <c:pt idx="21">
                  <c:v>42538</c:v>
                </c:pt>
                <c:pt idx="22">
                  <c:v>42539</c:v>
                </c:pt>
                <c:pt idx="23">
                  <c:v>42540</c:v>
                </c:pt>
                <c:pt idx="24">
                  <c:v>42541</c:v>
                </c:pt>
                <c:pt idx="25">
                  <c:v>42542</c:v>
                </c:pt>
                <c:pt idx="26">
                  <c:v>42543</c:v>
                </c:pt>
                <c:pt idx="27">
                  <c:v>42544</c:v>
                </c:pt>
                <c:pt idx="28">
                  <c:v>42545</c:v>
                </c:pt>
                <c:pt idx="29">
                  <c:v>42546</c:v>
                </c:pt>
                <c:pt idx="30">
                  <c:v>42547</c:v>
                </c:pt>
                <c:pt idx="31">
                  <c:v>42548</c:v>
                </c:pt>
                <c:pt idx="32">
                  <c:v>42549</c:v>
                </c:pt>
                <c:pt idx="33">
                  <c:v>42550</c:v>
                </c:pt>
              </c:numCache>
            </c:numRef>
          </c:cat>
          <c:val>
            <c:numRef>
              <c:f>'(前々日と前日)のカロリー差合算と当日朝体重増減関係'!$C$34:$C$67</c:f>
              <c:numCache>
                <c:formatCode>General</c:formatCode>
                <c:ptCount val="34"/>
                <c:pt idx="0">
                  <c:v>-0.70000000000000284</c:v>
                </c:pt>
                <c:pt idx="1">
                  <c:v>0.5</c:v>
                </c:pt>
                <c:pt idx="2">
                  <c:v>0</c:v>
                </c:pt>
                <c:pt idx="3">
                  <c:v>-0.29999999999999716</c:v>
                </c:pt>
                <c:pt idx="4">
                  <c:v>0</c:v>
                </c:pt>
                <c:pt idx="5">
                  <c:v>0.79999999999999716</c:v>
                </c:pt>
                <c:pt idx="6">
                  <c:v>-0.79999999999999716</c:v>
                </c:pt>
                <c:pt idx="7">
                  <c:v>-0.10000000000000853</c:v>
                </c:pt>
                <c:pt idx="8">
                  <c:v>0.10000000000000853</c:v>
                </c:pt>
                <c:pt idx="9">
                  <c:v>0.39999999999999147</c:v>
                </c:pt>
                <c:pt idx="10">
                  <c:v>0</c:v>
                </c:pt>
                <c:pt idx="11">
                  <c:v>0.40000000000000568</c:v>
                </c:pt>
                <c:pt idx="12">
                  <c:v>-0.70000000000000284</c:v>
                </c:pt>
                <c:pt idx="13">
                  <c:v>0</c:v>
                </c:pt>
                <c:pt idx="14">
                  <c:v>-0.59999999999999432</c:v>
                </c:pt>
                <c:pt idx="15">
                  <c:v>0.5</c:v>
                </c:pt>
                <c:pt idx="16">
                  <c:v>-0.30000000000001137</c:v>
                </c:pt>
                <c:pt idx="17">
                  <c:v>0</c:v>
                </c:pt>
                <c:pt idx="18">
                  <c:v>0.40000000000000568</c:v>
                </c:pt>
                <c:pt idx="19">
                  <c:v>0.5</c:v>
                </c:pt>
                <c:pt idx="20">
                  <c:v>-1.4000000000000057</c:v>
                </c:pt>
                <c:pt idx="21">
                  <c:v>0</c:v>
                </c:pt>
                <c:pt idx="22">
                  <c:v>0.5</c:v>
                </c:pt>
                <c:pt idx="23">
                  <c:v>-0.59999999999999432</c:v>
                </c:pt>
                <c:pt idx="24">
                  <c:v>-0.5</c:v>
                </c:pt>
                <c:pt idx="25">
                  <c:v>0</c:v>
                </c:pt>
                <c:pt idx="26">
                  <c:v>0</c:v>
                </c:pt>
                <c:pt idx="27">
                  <c:v>-0.29999999999999716</c:v>
                </c:pt>
                <c:pt idx="28">
                  <c:v>0.59999999999999432</c:v>
                </c:pt>
                <c:pt idx="29">
                  <c:v>-0.39999999999999147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-0.30000000000001137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2-4E69-9498-D6EF8ACBB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0688"/>
        <c:axId val="171709904"/>
      </c:lineChart>
      <c:dateAx>
        <c:axId val="171709120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512"/>
        <c:crosses val="autoZero"/>
        <c:auto val="1"/>
        <c:lblOffset val="100"/>
        <c:baseTimeUnit val="days"/>
      </c:dateAx>
      <c:valAx>
        <c:axId val="171709512"/>
        <c:scaling>
          <c:orientation val="minMax"/>
          <c:max val="15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120"/>
        <c:crosses val="autoZero"/>
        <c:crossBetween val="between"/>
      </c:valAx>
      <c:valAx>
        <c:axId val="171709904"/>
        <c:scaling>
          <c:orientation val="minMax"/>
          <c:max val="1.5"/>
          <c:min val="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0688"/>
        <c:crosses val="max"/>
        <c:crossBetween val="between"/>
      </c:valAx>
      <c:dateAx>
        <c:axId val="171710688"/>
        <c:scaling>
          <c:orientation val="minMax"/>
        </c:scaling>
        <c:delete val="1"/>
        <c:axPos val="b"/>
        <c:numFmt formatCode="m&quot;月&quot;d&quot;日&quot;;@" sourceLinked="1"/>
        <c:majorTickMark val="out"/>
        <c:minorTickMark val="none"/>
        <c:tickLblPos val="nextTo"/>
        <c:crossAx val="17170990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-3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u="sng"/>
              <a:t>６月３０日～７月２９日（▲１．７ｋｇ）</a:t>
            </a:r>
            <a:r>
              <a:rPr lang="ja-JP" altLang="ja-JP" sz="1600" b="0" i="0" u="sng" strike="noStrike" baseline="0">
                <a:effectLst/>
              </a:rPr>
              <a:t>（平均▲</a:t>
            </a:r>
            <a:r>
              <a:rPr lang="ja-JP" altLang="en-US" sz="1600" b="0" i="0" u="sng" strike="noStrike" baseline="0">
                <a:effectLst/>
              </a:rPr>
              <a:t>６９</a:t>
            </a:r>
            <a:r>
              <a:rPr lang="en-US" altLang="ja-JP" sz="1600" b="0" i="0" u="sng" strike="noStrike" baseline="0">
                <a:effectLst/>
              </a:rPr>
              <a:t>.</a:t>
            </a:r>
            <a:r>
              <a:rPr lang="ja-JP" altLang="en-US" sz="1600" b="0" i="0" u="sng" strike="noStrike" baseline="0">
                <a:effectLst/>
              </a:rPr>
              <a:t>３</a:t>
            </a:r>
            <a:r>
              <a:rPr lang="en-US" altLang="ja-JP" sz="1600" b="0" i="0" u="sng" strike="noStrike" baseline="0">
                <a:effectLst/>
              </a:rPr>
              <a:t>kcal/</a:t>
            </a:r>
            <a:r>
              <a:rPr lang="ja-JP" altLang="ja-JP" sz="1600" b="0" i="0" u="sng" strike="noStrike" baseline="0">
                <a:effectLst/>
              </a:rPr>
              <a:t>日）</a:t>
            </a:r>
            <a:endParaRPr lang="en-US" altLang="ja-JP" sz="1600" u="sng"/>
          </a:p>
          <a:p>
            <a:pPr algn="ctr">
              <a:defRPr sz="1600"/>
            </a:pPr>
            <a:r>
              <a:rPr lang="ja-JP" altLang="en-US" sz="1600" u="sng"/>
              <a:t>／４月２５日～（▲７．５ｋｇ）</a:t>
            </a:r>
            <a:r>
              <a:rPr lang="ja-JP" altLang="ja-JP" sz="1600" b="0" i="0" u="sng" strike="noStrike" baseline="0">
                <a:effectLst/>
              </a:rPr>
              <a:t>（平均▲</a:t>
            </a:r>
            <a:r>
              <a:rPr lang="ja-JP" altLang="en-US" sz="1600" b="0" i="0" u="sng" strike="noStrike" baseline="0">
                <a:effectLst/>
              </a:rPr>
              <a:t>２８４</a:t>
            </a:r>
            <a:r>
              <a:rPr lang="en-US" altLang="ja-JP" sz="1600" b="0" i="0" u="sng" strike="noStrike" baseline="0">
                <a:effectLst/>
              </a:rPr>
              <a:t>.</a:t>
            </a:r>
            <a:r>
              <a:rPr lang="ja-JP" altLang="en-US" sz="1600" b="0" i="0" u="sng" strike="noStrike" baseline="0">
                <a:effectLst/>
              </a:rPr>
              <a:t>４</a:t>
            </a:r>
            <a:r>
              <a:rPr lang="en-US" altLang="ja-JP" sz="1600" b="0" i="0" u="sng" strike="noStrike" baseline="0">
                <a:effectLst/>
              </a:rPr>
              <a:t>kcal/</a:t>
            </a:r>
            <a:r>
              <a:rPr lang="ja-JP" altLang="ja-JP" sz="1600" b="0" i="0" u="sng" strike="noStrike" baseline="0">
                <a:effectLst/>
              </a:rPr>
              <a:t>日）</a:t>
            </a:r>
            <a:endParaRPr lang="en-US" altLang="ja-JP" sz="1600" u="sng"/>
          </a:p>
        </c:rich>
      </c:tx>
      <c:layout>
        <c:manualLayout>
          <c:xMode val="edge"/>
          <c:yMode val="edge"/>
          <c:x val="0.23214864095358487"/>
          <c:y val="3.5307629760768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'(前々日と前日)のカロリー差合算と当日朝体重増減関係'!$B$1</c:f>
              <c:strCache>
                <c:ptCount val="1"/>
                <c:pt idx="0">
                  <c:v>左軸：前々日と前日の摂取と摂取目標カロリー差合算(kcal)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'(前々日と前日)のカロリー差合算と当日朝体重増減関係'!$A$68:$A$96</c:f>
              <c:numCache>
                <c:formatCode>m"月"d"日";@</c:formatCode>
                <c:ptCount val="29"/>
                <c:pt idx="0">
                  <c:v>42551</c:v>
                </c:pt>
                <c:pt idx="1">
                  <c:v>42552</c:v>
                </c:pt>
                <c:pt idx="2">
                  <c:v>42553</c:v>
                </c:pt>
                <c:pt idx="3">
                  <c:v>42554</c:v>
                </c:pt>
                <c:pt idx="4">
                  <c:v>42555</c:v>
                </c:pt>
                <c:pt idx="5">
                  <c:v>42556</c:v>
                </c:pt>
                <c:pt idx="6">
                  <c:v>42557</c:v>
                </c:pt>
                <c:pt idx="7">
                  <c:v>42558</c:v>
                </c:pt>
                <c:pt idx="8">
                  <c:v>42559</c:v>
                </c:pt>
                <c:pt idx="9">
                  <c:v>42560</c:v>
                </c:pt>
                <c:pt idx="10">
                  <c:v>42561</c:v>
                </c:pt>
                <c:pt idx="11">
                  <c:v>42562</c:v>
                </c:pt>
                <c:pt idx="12">
                  <c:v>42563</c:v>
                </c:pt>
                <c:pt idx="13">
                  <c:v>42564</c:v>
                </c:pt>
                <c:pt idx="14">
                  <c:v>42565</c:v>
                </c:pt>
                <c:pt idx="15">
                  <c:v>42566</c:v>
                </c:pt>
                <c:pt idx="16">
                  <c:v>42567</c:v>
                </c:pt>
                <c:pt idx="17">
                  <c:v>42568</c:v>
                </c:pt>
                <c:pt idx="18">
                  <c:v>42569</c:v>
                </c:pt>
                <c:pt idx="19">
                  <c:v>42570</c:v>
                </c:pt>
                <c:pt idx="20">
                  <c:v>42571</c:v>
                </c:pt>
                <c:pt idx="21">
                  <c:v>42572</c:v>
                </c:pt>
                <c:pt idx="22">
                  <c:v>42573</c:v>
                </c:pt>
                <c:pt idx="23">
                  <c:v>42574</c:v>
                </c:pt>
                <c:pt idx="24">
                  <c:v>42575</c:v>
                </c:pt>
                <c:pt idx="25">
                  <c:v>42576</c:v>
                </c:pt>
                <c:pt idx="26">
                  <c:v>42577</c:v>
                </c:pt>
                <c:pt idx="27">
                  <c:v>42578</c:v>
                </c:pt>
                <c:pt idx="28">
                  <c:v>42579</c:v>
                </c:pt>
              </c:numCache>
            </c:numRef>
          </c:cat>
          <c:val>
            <c:numRef>
              <c:f>'(前々日と前日)のカロリー差合算と当日朝体重増減関係'!$B$68:$B$96</c:f>
              <c:numCache>
                <c:formatCode>0.0_ </c:formatCode>
                <c:ptCount val="29"/>
                <c:pt idx="0">
                  <c:v>-950.0766045548653</c:v>
                </c:pt>
                <c:pt idx="1">
                  <c:v>-717.08902691511321</c:v>
                </c:pt>
                <c:pt idx="2">
                  <c:v>678.9192546583854</c:v>
                </c:pt>
                <c:pt idx="3">
                  <c:v>-104.04347826086996</c:v>
                </c:pt>
                <c:pt idx="4">
                  <c:v>-1599.0683229813667</c:v>
                </c:pt>
                <c:pt idx="5">
                  <c:v>-524.13457556935828</c:v>
                </c:pt>
                <c:pt idx="6">
                  <c:v>48.873706004140331</c:v>
                </c:pt>
                <c:pt idx="7">
                  <c:v>-31.105590062112242</c:v>
                </c:pt>
                <c:pt idx="8">
                  <c:v>-319.11801242236015</c:v>
                </c:pt>
                <c:pt idx="9">
                  <c:v>1158.8819875776398</c:v>
                </c:pt>
                <c:pt idx="10">
                  <c:v>1153.8944099378878</c:v>
                </c:pt>
                <c:pt idx="11">
                  <c:v>-103.13871635610758</c:v>
                </c:pt>
                <c:pt idx="12">
                  <c:v>-11.15113871635549</c:v>
                </c:pt>
                <c:pt idx="13">
                  <c:v>-607.13043478260806</c:v>
                </c:pt>
                <c:pt idx="14">
                  <c:v>-814.13043478260806</c:v>
                </c:pt>
                <c:pt idx="15">
                  <c:v>-531.1552795031057</c:v>
                </c:pt>
                <c:pt idx="16">
                  <c:v>-112.15942028985592</c:v>
                </c:pt>
                <c:pt idx="17">
                  <c:v>-493.13871635610849</c:v>
                </c:pt>
                <c:pt idx="18">
                  <c:v>-1001.1925465838513</c:v>
                </c:pt>
                <c:pt idx="19">
                  <c:v>-1393.2256728778466</c:v>
                </c:pt>
                <c:pt idx="20">
                  <c:v>-602.20082815734986</c:v>
                </c:pt>
                <c:pt idx="21">
                  <c:v>-292.21325051759868</c:v>
                </c:pt>
                <c:pt idx="22">
                  <c:v>-175.2298136645968</c:v>
                </c:pt>
                <c:pt idx="23">
                  <c:v>880.78260869565202</c:v>
                </c:pt>
                <c:pt idx="24">
                  <c:v>155.81159420289896</c:v>
                </c:pt>
                <c:pt idx="25">
                  <c:v>134.79917184265014</c:v>
                </c:pt>
                <c:pt idx="26">
                  <c:v>309.79917184265014</c:v>
                </c:pt>
                <c:pt idx="27">
                  <c:v>-192.18426501035174</c:v>
                </c:pt>
                <c:pt idx="28">
                  <c:v>-343.19668737060056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E-4657-82DA-67477D35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1709120"/>
        <c:axId val="171709512"/>
      </c:barChart>
      <c:lineChart>
        <c:grouping val="standard"/>
        <c:varyColors val="0"/>
        <c:ser>
          <c:idx val="2"/>
          <c:order val="2"/>
          <c:tx>
            <c:strRef>
              <c:f>'(前々日と前日)のカロリー差合算と当日朝体重増減関係'!$D$1</c:f>
              <c:strCache>
                <c:ptCount val="1"/>
                <c:pt idx="0">
                  <c:v>１日の目標運動量330(kcal)に対する前々日と前日の合算運動量差(kcal)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'(前々日と前日)のカロリー差合算と当日朝体重増減関係'!$A$68:$A$96</c:f>
              <c:numCache>
                <c:formatCode>m"月"d"日";@</c:formatCode>
                <c:ptCount val="29"/>
                <c:pt idx="0">
                  <c:v>42551</c:v>
                </c:pt>
                <c:pt idx="1">
                  <c:v>42552</c:v>
                </c:pt>
                <c:pt idx="2">
                  <c:v>42553</c:v>
                </c:pt>
                <c:pt idx="3">
                  <c:v>42554</c:v>
                </c:pt>
                <c:pt idx="4">
                  <c:v>42555</c:v>
                </c:pt>
                <c:pt idx="5">
                  <c:v>42556</c:v>
                </c:pt>
                <c:pt idx="6">
                  <c:v>42557</c:v>
                </c:pt>
                <c:pt idx="7">
                  <c:v>42558</c:v>
                </c:pt>
                <c:pt idx="8">
                  <c:v>42559</c:v>
                </c:pt>
                <c:pt idx="9">
                  <c:v>42560</c:v>
                </c:pt>
                <c:pt idx="10">
                  <c:v>42561</c:v>
                </c:pt>
                <c:pt idx="11">
                  <c:v>42562</c:v>
                </c:pt>
                <c:pt idx="12">
                  <c:v>42563</c:v>
                </c:pt>
                <c:pt idx="13">
                  <c:v>42564</c:v>
                </c:pt>
                <c:pt idx="14">
                  <c:v>42565</c:v>
                </c:pt>
                <c:pt idx="15">
                  <c:v>42566</c:v>
                </c:pt>
                <c:pt idx="16">
                  <c:v>42567</c:v>
                </c:pt>
                <c:pt idx="17">
                  <c:v>42568</c:v>
                </c:pt>
                <c:pt idx="18">
                  <c:v>42569</c:v>
                </c:pt>
                <c:pt idx="19">
                  <c:v>42570</c:v>
                </c:pt>
                <c:pt idx="20">
                  <c:v>42571</c:v>
                </c:pt>
                <c:pt idx="21">
                  <c:v>42572</c:v>
                </c:pt>
                <c:pt idx="22">
                  <c:v>42573</c:v>
                </c:pt>
                <c:pt idx="23">
                  <c:v>42574</c:v>
                </c:pt>
                <c:pt idx="24">
                  <c:v>42575</c:v>
                </c:pt>
                <c:pt idx="25">
                  <c:v>42576</c:v>
                </c:pt>
                <c:pt idx="26">
                  <c:v>42577</c:v>
                </c:pt>
                <c:pt idx="27">
                  <c:v>42578</c:v>
                </c:pt>
                <c:pt idx="28">
                  <c:v>42579</c:v>
                </c:pt>
              </c:numCache>
            </c:numRef>
          </c:cat>
          <c:val>
            <c:numRef>
              <c:f>'(前々日と前日)のカロリー差合算と当日朝体重増減関係'!$D$68:$D$96</c:f>
              <c:numCache>
                <c:formatCode>General</c:formatCode>
                <c:ptCount val="29"/>
                <c:pt idx="0">
                  <c:v>536</c:v>
                </c:pt>
                <c:pt idx="1">
                  <c:v>282</c:v>
                </c:pt>
                <c:pt idx="2">
                  <c:v>-5</c:v>
                </c:pt>
                <c:pt idx="3">
                  <c:v>391</c:v>
                </c:pt>
                <c:pt idx="4">
                  <c:v>608</c:v>
                </c:pt>
                <c:pt idx="5">
                  <c:v>215</c:v>
                </c:pt>
                <c:pt idx="6">
                  <c:v>-14</c:v>
                </c:pt>
                <c:pt idx="7">
                  <c:v>-39</c:v>
                </c:pt>
                <c:pt idx="8">
                  <c:v>-36</c:v>
                </c:pt>
                <c:pt idx="9">
                  <c:v>81</c:v>
                </c:pt>
                <c:pt idx="10">
                  <c:v>219</c:v>
                </c:pt>
                <c:pt idx="11">
                  <c:v>59</c:v>
                </c:pt>
                <c:pt idx="12">
                  <c:v>156</c:v>
                </c:pt>
                <c:pt idx="13">
                  <c:v>482</c:v>
                </c:pt>
                <c:pt idx="14">
                  <c:v>567</c:v>
                </c:pt>
                <c:pt idx="15">
                  <c:v>340</c:v>
                </c:pt>
                <c:pt idx="16">
                  <c:v>146</c:v>
                </c:pt>
                <c:pt idx="17">
                  <c:v>225</c:v>
                </c:pt>
                <c:pt idx="18">
                  <c:v>507</c:v>
                </c:pt>
                <c:pt idx="19">
                  <c:v>959</c:v>
                </c:pt>
                <c:pt idx="20">
                  <c:v>444</c:v>
                </c:pt>
                <c:pt idx="21">
                  <c:v>-62</c:v>
                </c:pt>
                <c:pt idx="22">
                  <c:v>221</c:v>
                </c:pt>
                <c:pt idx="23">
                  <c:v>23</c:v>
                </c:pt>
                <c:pt idx="24">
                  <c:v>-259</c:v>
                </c:pt>
                <c:pt idx="25">
                  <c:v>-189</c:v>
                </c:pt>
                <c:pt idx="26">
                  <c:v>-159</c:v>
                </c:pt>
                <c:pt idx="27">
                  <c:v>110</c:v>
                </c:pt>
                <c:pt idx="28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F-425C-9263-327C681D1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9120"/>
        <c:axId val="171709512"/>
      </c:lineChart>
      <c:lineChart>
        <c:grouping val="standard"/>
        <c:varyColors val="0"/>
        <c:ser>
          <c:idx val="1"/>
          <c:order val="1"/>
          <c:tx>
            <c:strRef>
              <c:f>'(前々日と前日)のカロリー差合算と当日朝体重増減関係'!$C$1</c:f>
              <c:strCache>
                <c:ptCount val="1"/>
                <c:pt idx="0">
                  <c:v>右軸：体重増減(kg)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'(前々日と前日)のカロリー差合算と当日朝体重増減関係'!$A$68:$A$96</c:f>
              <c:numCache>
                <c:formatCode>m"月"d"日";@</c:formatCode>
                <c:ptCount val="29"/>
                <c:pt idx="0">
                  <c:v>42551</c:v>
                </c:pt>
                <c:pt idx="1">
                  <c:v>42552</c:v>
                </c:pt>
                <c:pt idx="2">
                  <c:v>42553</c:v>
                </c:pt>
                <c:pt idx="3">
                  <c:v>42554</c:v>
                </c:pt>
                <c:pt idx="4">
                  <c:v>42555</c:v>
                </c:pt>
                <c:pt idx="5">
                  <c:v>42556</c:v>
                </c:pt>
                <c:pt idx="6">
                  <c:v>42557</c:v>
                </c:pt>
                <c:pt idx="7">
                  <c:v>42558</c:v>
                </c:pt>
                <c:pt idx="8">
                  <c:v>42559</c:v>
                </c:pt>
                <c:pt idx="9">
                  <c:v>42560</c:v>
                </c:pt>
                <c:pt idx="10">
                  <c:v>42561</c:v>
                </c:pt>
                <c:pt idx="11">
                  <c:v>42562</c:v>
                </c:pt>
                <c:pt idx="12">
                  <c:v>42563</c:v>
                </c:pt>
                <c:pt idx="13">
                  <c:v>42564</c:v>
                </c:pt>
                <c:pt idx="14">
                  <c:v>42565</c:v>
                </c:pt>
                <c:pt idx="15">
                  <c:v>42566</c:v>
                </c:pt>
                <c:pt idx="16">
                  <c:v>42567</c:v>
                </c:pt>
                <c:pt idx="17">
                  <c:v>42568</c:v>
                </c:pt>
                <c:pt idx="18">
                  <c:v>42569</c:v>
                </c:pt>
                <c:pt idx="19">
                  <c:v>42570</c:v>
                </c:pt>
                <c:pt idx="20">
                  <c:v>42571</c:v>
                </c:pt>
                <c:pt idx="21">
                  <c:v>42572</c:v>
                </c:pt>
                <c:pt idx="22">
                  <c:v>42573</c:v>
                </c:pt>
                <c:pt idx="23">
                  <c:v>42574</c:v>
                </c:pt>
                <c:pt idx="24">
                  <c:v>42575</c:v>
                </c:pt>
                <c:pt idx="25">
                  <c:v>42576</c:v>
                </c:pt>
                <c:pt idx="26">
                  <c:v>42577</c:v>
                </c:pt>
                <c:pt idx="27">
                  <c:v>42578</c:v>
                </c:pt>
                <c:pt idx="28">
                  <c:v>42579</c:v>
                </c:pt>
              </c:numCache>
            </c:numRef>
          </c:cat>
          <c:val>
            <c:numRef>
              <c:f>'(前々日と前日)のカロリー差合算と当日朝体重増減関係'!$C$68:$C$96</c:f>
              <c:numCache>
                <c:formatCode>General</c:formatCode>
                <c:ptCount val="29"/>
                <c:pt idx="0">
                  <c:v>0</c:v>
                </c:pt>
                <c:pt idx="1">
                  <c:v>0.20000000000000284</c:v>
                </c:pt>
                <c:pt idx="2">
                  <c:v>0.70000000000000284</c:v>
                </c:pt>
                <c:pt idx="3">
                  <c:v>-1.2999999999999972</c:v>
                </c:pt>
                <c:pt idx="4">
                  <c:v>-0.29999999999999716</c:v>
                </c:pt>
                <c:pt idx="5">
                  <c:v>0.5</c:v>
                </c:pt>
                <c:pt idx="6">
                  <c:v>0</c:v>
                </c:pt>
                <c:pt idx="7">
                  <c:v>-0.30000000000001137</c:v>
                </c:pt>
                <c:pt idx="8">
                  <c:v>0.30000000000001137</c:v>
                </c:pt>
                <c:pt idx="9">
                  <c:v>0</c:v>
                </c:pt>
                <c:pt idx="10">
                  <c:v>-0.80000000000001137</c:v>
                </c:pt>
                <c:pt idx="11">
                  <c:v>0.5</c:v>
                </c:pt>
                <c:pt idx="12">
                  <c:v>0</c:v>
                </c:pt>
                <c:pt idx="13">
                  <c:v>0</c:v>
                </c:pt>
                <c:pt idx="14">
                  <c:v>-0.59999999999999432</c:v>
                </c:pt>
                <c:pt idx="15">
                  <c:v>0.5</c:v>
                </c:pt>
                <c:pt idx="16">
                  <c:v>0</c:v>
                </c:pt>
                <c:pt idx="17">
                  <c:v>-1.2999999999999972</c:v>
                </c:pt>
                <c:pt idx="18">
                  <c:v>0.5</c:v>
                </c:pt>
                <c:pt idx="19">
                  <c:v>9.9999999999994316E-2</c:v>
                </c:pt>
                <c:pt idx="20">
                  <c:v>-0.39999999999999147</c:v>
                </c:pt>
                <c:pt idx="21">
                  <c:v>0</c:v>
                </c:pt>
                <c:pt idx="22">
                  <c:v>0.29999999999999716</c:v>
                </c:pt>
                <c:pt idx="23">
                  <c:v>0.39999999999999147</c:v>
                </c:pt>
                <c:pt idx="24">
                  <c:v>-0.69999999999998863</c:v>
                </c:pt>
                <c:pt idx="25">
                  <c:v>0.69999999999998863</c:v>
                </c:pt>
                <c:pt idx="26">
                  <c:v>-0.29999999999999716</c:v>
                </c:pt>
                <c:pt idx="27">
                  <c:v>0</c:v>
                </c:pt>
                <c:pt idx="28">
                  <c:v>-9.9999999999994316E-2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E-4657-82DA-67477D35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0688"/>
        <c:axId val="171709904"/>
      </c:lineChart>
      <c:dateAx>
        <c:axId val="171709120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512"/>
        <c:crosses val="autoZero"/>
        <c:auto val="1"/>
        <c:lblOffset val="100"/>
        <c:baseTimeUnit val="days"/>
      </c:dateAx>
      <c:valAx>
        <c:axId val="171709512"/>
        <c:scaling>
          <c:orientation val="minMax"/>
          <c:max val="15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120"/>
        <c:crosses val="autoZero"/>
        <c:crossBetween val="between"/>
      </c:valAx>
      <c:valAx>
        <c:axId val="171709904"/>
        <c:scaling>
          <c:orientation val="minMax"/>
          <c:max val="1.5"/>
          <c:min val="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0688"/>
        <c:crosses val="max"/>
        <c:crossBetween val="between"/>
      </c:valAx>
      <c:dateAx>
        <c:axId val="171710688"/>
        <c:scaling>
          <c:orientation val="minMax"/>
        </c:scaling>
        <c:delete val="1"/>
        <c:axPos val="b"/>
        <c:numFmt formatCode="m&quot;月&quot;d&quot;日&quot;;@" sourceLinked="1"/>
        <c:majorTickMark val="out"/>
        <c:minorTickMark val="none"/>
        <c:tickLblPos val="nextTo"/>
        <c:crossAx val="17170990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-3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u="sng"/>
              <a:t>７月２９日～８月２８日（▲０．８ｋｇ）</a:t>
            </a:r>
            <a:r>
              <a:rPr lang="ja-JP" altLang="ja-JP" sz="1600" b="0" i="0" u="sng" strike="noStrike" baseline="0">
                <a:effectLst/>
              </a:rPr>
              <a:t>（平均▲</a:t>
            </a:r>
            <a:r>
              <a:rPr lang="ja-JP" altLang="en-US" sz="1600" b="0" i="0" u="sng" strike="noStrike" baseline="0">
                <a:effectLst/>
              </a:rPr>
              <a:t>７８</a:t>
            </a:r>
            <a:r>
              <a:rPr lang="en-US" altLang="ja-JP" sz="1600" b="0" i="0" u="sng" strike="noStrike" baseline="0">
                <a:effectLst/>
              </a:rPr>
              <a:t>.</a:t>
            </a:r>
            <a:r>
              <a:rPr lang="ja-JP" altLang="en-US" sz="1600" b="0" i="0" u="sng" strike="noStrike" baseline="0">
                <a:effectLst/>
              </a:rPr>
              <a:t>０</a:t>
            </a:r>
            <a:r>
              <a:rPr lang="en-US" altLang="ja-JP" sz="1600" b="0" i="0" u="sng" strike="noStrike" baseline="0">
                <a:effectLst/>
              </a:rPr>
              <a:t>kcal/</a:t>
            </a:r>
            <a:r>
              <a:rPr lang="ja-JP" altLang="ja-JP" sz="1600" b="0" i="0" u="sng" strike="noStrike" baseline="0">
                <a:effectLst/>
              </a:rPr>
              <a:t>日）</a:t>
            </a:r>
            <a:endParaRPr lang="en-US" altLang="ja-JP" sz="1600" b="0" i="0" u="sng" strike="noStrike" baseline="0">
              <a:effectLst/>
            </a:endParaRPr>
          </a:p>
          <a:p>
            <a:pPr algn="ctr">
              <a:defRPr sz="1600"/>
            </a:pPr>
            <a:r>
              <a:rPr lang="ja-JP" altLang="en-US" sz="1600" u="sng"/>
              <a:t>／４月２５日～（▲８．３ｋｇ）</a:t>
            </a:r>
            <a:r>
              <a:rPr lang="ja-JP" altLang="ja-JP" sz="1600" b="0" i="0" u="sng" strike="noStrike" baseline="0">
                <a:effectLst/>
              </a:rPr>
              <a:t>（平均▲</a:t>
            </a:r>
            <a:r>
              <a:rPr lang="ja-JP" altLang="en-US" sz="1600" b="0" i="0" u="sng" strike="noStrike" baseline="0">
                <a:effectLst/>
              </a:rPr>
              <a:t>２４０</a:t>
            </a:r>
            <a:r>
              <a:rPr lang="en-US" altLang="ja-JP" sz="1600" b="0" i="0" u="sng" strike="noStrike" baseline="0">
                <a:effectLst/>
              </a:rPr>
              <a:t>.</a:t>
            </a:r>
            <a:r>
              <a:rPr lang="ja-JP" altLang="en-US" sz="1600" b="0" i="0" u="sng" strike="noStrike" baseline="0">
                <a:effectLst/>
              </a:rPr>
              <a:t>６</a:t>
            </a:r>
            <a:r>
              <a:rPr lang="en-US" altLang="ja-JP" sz="1600" b="0" i="0" u="sng" strike="noStrike" baseline="0">
                <a:effectLst/>
              </a:rPr>
              <a:t>kcal/</a:t>
            </a:r>
            <a:r>
              <a:rPr lang="ja-JP" altLang="ja-JP" sz="1600" b="0" i="0" u="sng" strike="noStrike" baseline="0">
                <a:effectLst/>
              </a:rPr>
              <a:t>日）</a:t>
            </a:r>
            <a:endParaRPr lang="en-US" altLang="ja-JP" sz="1600" u="sng"/>
          </a:p>
        </c:rich>
      </c:tx>
      <c:layout>
        <c:manualLayout>
          <c:xMode val="edge"/>
          <c:yMode val="edge"/>
          <c:x val="0.21883259972780753"/>
          <c:y val="2.9324722972571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'(前々日と前日)のカロリー差合算と当日朝体重増減関係'!$B$1</c:f>
              <c:strCache>
                <c:ptCount val="1"/>
                <c:pt idx="0">
                  <c:v>左軸：前々日と前日の摂取と摂取目標カロリー差合算(kcal)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'(前々日と前日)のカロリー差合算と当日朝体重増減関係'!$A$97:$A$127</c:f>
              <c:numCache>
                <c:formatCode>m"月"d"日";@</c:formatCode>
                <c:ptCount val="31"/>
                <c:pt idx="0">
                  <c:v>42580</c:v>
                </c:pt>
                <c:pt idx="1">
                  <c:v>42581</c:v>
                </c:pt>
                <c:pt idx="2">
                  <c:v>42582</c:v>
                </c:pt>
                <c:pt idx="3">
                  <c:v>42583</c:v>
                </c:pt>
                <c:pt idx="4">
                  <c:v>42584</c:v>
                </c:pt>
                <c:pt idx="5">
                  <c:v>42585</c:v>
                </c:pt>
                <c:pt idx="6">
                  <c:v>42586</c:v>
                </c:pt>
                <c:pt idx="7">
                  <c:v>42587</c:v>
                </c:pt>
                <c:pt idx="8">
                  <c:v>42588</c:v>
                </c:pt>
                <c:pt idx="9">
                  <c:v>42589</c:v>
                </c:pt>
                <c:pt idx="10">
                  <c:v>42590</c:v>
                </c:pt>
                <c:pt idx="11">
                  <c:v>42591</c:v>
                </c:pt>
                <c:pt idx="12">
                  <c:v>42592</c:v>
                </c:pt>
                <c:pt idx="13">
                  <c:v>42593</c:v>
                </c:pt>
                <c:pt idx="14">
                  <c:v>42594</c:v>
                </c:pt>
                <c:pt idx="15">
                  <c:v>42595</c:v>
                </c:pt>
                <c:pt idx="16">
                  <c:v>42596</c:v>
                </c:pt>
                <c:pt idx="17">
                  <c:v>42597</c:v>
                </c:pt>
                <c:pt idx="18">
                  <c:v>42598</c:v>
                </c:pt>
                <c:pt idx="19">
                  <c:v>42599</c:v>
                </c:pt>
                <c:pt idx="20">
                  <c:v>42600</c:v>
                </c:pt>
                <c:pt idx="21">
                  <c:v>42601</c:v>
                </c:pt>
                <c:pt idx="22">
                  <c:v>42602</c:v>
                </c:pt>
                <c:pt idx="23">
                  <c:v>42603</c:v>
                </c:pt>
                <c:pt idx="24">
                  <c:v>42604</c:v>
                </c:pt>
                <c:pt idx="25">
                  <c:v>42605</c:v>
                </c:pt>
                <c:pt idx="26">
                  <c:v>42606</c:v>
                </c:pt>
                <c:pt idx="27">
                  <c:v>42607</c:v>
                </c:pt>
                <c:pt idx="28">
                  <c:v>42608</c:v>
                </c:pt>
                <c:pt idx="29">
                  <c:v>42609</c:v>
                </c:pt>
                <c:pt idx="30">
                  <c:v>42610</c:v>
                </c:pt>
              </c:numCache>
            </c:numRef>
          </c:cat>
          <c:val>
            <c:numRef>
              <c:f>'(前々日と前日)のカロリー差合算と当日朝体重増減関係'!$B$97:$B$127</c:f>
              <c:numCache>
                <c:formatCode>0.0_ </c:formatCode>
                <c:ptCount val="31"/>
                <c:pt idx="0">
                  <c:v>-413.20082815734986</c:v>
                </c:pt>
                <c:pt idx="1">
                  <c:v>551.78260869565202</c:v>
                </c:pt>
                <c:pt idx="2">
                  <c:v>66.799171842650139</c:v>
                </c:pt>
                <c:pt idx="3">
                  <c:v>-1074.159420289855</c:v>
                </c:pt>
                <c:pt idx="4">
                  <c:v>-1666.1552795031057</c:v>
                </c:pt>
                <c:pt idx="5">
                  <c:v>-787.18012422360243</c:v>
                </c:pt>
                <c:pt idx="6">
                  <c:v>286.80745341614875</c:v>
                </c:pt>
                <c:pt idx="7">
                  <c:v>335.81159420289805</c:v>
                </c:pt>
                <c:pt idx="8">
                  <c:v>1097.811594202898</c:v>
                </c:pt>
                <c:pt idx="9">
                  <c:v>1035.8240165631469</c:v>
                </c:pt>
                <c:pt idx="10">
                  <c:v>-390.18426501035174</c:v>
                </c:pt>
                <c:pt idx="11">
                  <c:v>-349.21739130434798</c:v>
                </c:pt>
                <c:pt idx="12">
                  <c:v>-251.21739130434798</c:v>
                </c:pt>
                <c:pt idx="13">
                  <c:v>-1391.2298136645959</c:v>
                </c:pt>
                <c:pt idx="14">
                  <c:v>-107.25465838509263</c:v>
                </c:pt>
                <c:pt idx="15">
                  <c:v>406.77018633540411</c:v>
                </c:pt>
                <c:pt idx="16">
                  <c:v>-543.22567287784659</c:v>
                </c:pt>
                <c:pt idx="17">
                  <c:v>-144.26293995859214</c:v>
                </c:pt>
                <c:pt idx="18">
                  <c:v>-644.27950310559027</c:v>
                </c:pt>
                <c:pt idx="19">
                  <c:v>-1244.246376811594</c:v>
                </c:pt>
                <c:pt idx="20">
                  <c:v>1991.7908902691515</c:v>
                </c:pt>
                <c:pt idx="21">
                  <c:v>2258.7908902691515</c:v>
                </c:pt>
                <c:pt idx="22">
                  <c:v>-612.20082815734986</c:v>
                </c:pt>
                <c:pt idx="23">
                  <c:v>-1189.217391304348</c:v>
                </c:pt>
                <c:pt idx="24">
                  <c:v>-1225.2712215320912</c:v>
                </c:pt>
                <c:pt idx="25">
                  <c:v>-570.2629399585926</c:v>
                </c:pt>
                <c:pt idx="26">
                  <c:v>-349.2629399585926</c:v>
                </c:pt>
                <c:pt idx="27">
                  <c:v>165.74120082815671</c:v>
                </c:pt>
                <c:pt idx="28">
                  <c:v>742.7784679089018</c:v>
                </c:pt>
                <c:pt idx="29">
                  <c:v>434.75362318840507</c:v>
                </c:pt>
                <c:pt idx="30">
                  <c:v>-372.25879917184284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9-4A01-B67D-BB15345B6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1709120"/>
        <c:axId val="171709512"/>
      </c:barChart>
      <c:lineChart>
        <c:grouping val="standard"/>
        <c:varyColors val="0"/>
        <c:ser>
          <c:idx val="2"/>
          <c:order val="2"/>
          <c:tx>
            <c:strRef>
              <c:f>'(前々日と前日)のカロリー差合算と当日朝体重増減関係'!$D$1</c:f>
              <c:strCache>
                <c:ptCount val="1"/>
                <c:pt idx="0">
                  <c:v>１日の目標運動量330(kcal)に対する前々日と前日の合算運動量差(kcal)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'(前々日と前日)のカロリー差合算と当日朝体重増減関係'!$A$97:$A$127</c:f>
              <c:numCache>
                <c:formatCode>m"月"d"日";@</c:formatCode>
                <c:ptCount val="31"/>
                <c:pt idx="0">
                  <c:v>42580</c:v>
                </c:pt>
                <c:pt idx="1">
                  <c:v>42581</c:v>
                </c:pt>
                <c:pt idx="2">
                  <c:v>42582</c:v>
                </c:pt>
                <c:pt idx="3">
                  <c:v>42583</c:v>
                </c:pt>
                <c:pt idx="4">
                  <c:v>42584</c:v>
                </c:pt>
                <c:pt idx="5">
                  <c:v>42585</c:v>
                </c:pt>
                <c:pt idx="6">
                  <c:v>42586</c:v>
                </c:pt>
                <c:pt idx="7">
                  <c:v>42587</c:v>
                </c:pt>
                <c:pt idx="8">
                  <c:v>42588</c:v>
                </c:pt>
                <c:pt idx="9">
                  <c:v>42589</c:v>
                </c:pt>
                <c:pt idx="10">
                  <c:v>42590</c:v>
                </c:pt>
                <c:pt idx="11">
                  <c:v>42591</c:v>
                </c:pt>
                <c:pt idx="12">
                  <c:v>42592</c:v>
                </c:pt>
                <c:pt idx="13">
                  <c:v>42593</c:v>
                </c:pt>
                <c:pt idx="14">
                  <c:v>42594</c:v>
                </c:pt>
                <c:pt idx="15">
                  <c:v>42595</c:v>
                </c:pt>
                <c:pt idx="16">
                  <c:v>42596</c:v>
                </c:pt>
                <c:pt idx="17">
                  <c:v>42597</c:v>
                </c:pt>
                <c:pt idx="18">
                  <c:v>42598</c:v>
                </c:pt>
                <c:pt idx="19">
                  <c:v>42599</c:v>
                </c:pt>
                <c:pt idx="20">
                  <c:v>42600</c:v>
                </c:pt>
                <c:pt idx="21">
                  <c:v>42601</c:v>
                </c:pt>
                <c:pt idx="22">
                  <c:v>42602</c:v>
                </c:pt>
                <c:pt idx="23">
                  <c:v>42603</c:v>
                </c:pt>
                <c:pt idx="24">
                  <c:v>42604</c:v>
                </c:pt>
                <c:pt idx="25">
                  <c:v>42605</c:v>
                </c:pt>
                <c:pt idx="26">
                  <c:v>42606</c:v>
                </c:pt>
                <c:pt idx="27">
                  <c:v>42607</c:v>
                </c:pt>
                <c:pt idx="28">
                  <c:v>42608</c:v>
                </c:pt>
                <c:pt idx="29">
                  <c:v>42609</c:v>
                </c:pt>
                <c:pt idx="30">
                  <c:v>42610</c:v>
                </c:pt>
              </c:numCache>
            </c:numRef>
          </c:cat>
          <c:val>
            <c:numRef>
              <c:f>'(前々日と前日)のカロリー差合算と当日朝体重増減関係'!$D$97:$D$127</c:f>
              <c:numCache>
                <c:formatCode>General</c:formatCode>
                <c:ptCount val="31"/>
                <c:pt idx="0">
                  <c:v>-106</c:v>
                </c:pt>
                <c:pt idx="1">
                  <c:v>-274</c:v>
                </c:pt>
                <c:pt idx="2">
                  <c:v>346</c:v>
                </c:pt>
                <c:pt idx="3">
                  <c:v>297</c:v>
                </c:pt>
                <c:pt idx="4">
                  <c:v>879</c:v>
                </c:pt>
                <c:pt idx="5">
                  <c:v>736</c:v>
                </c:pt>
                <c:pt idx="6">
                  <c:v>-395</c:v>
                </c:pt>
                <c:pt idx="7">
                  <c:v>129</c:v>
                </c:pt>
                <c:pt idx="8">
                  <c:v>217</c:v>
                </c:pt>
                <c:pt idx="9">
                  <c:v>-113</c:v>
                </c:pt>
                <c:pt idx="10">
                  <c:v>233</c:v>
                </c:pt>
                <c:pt idx="11">
                  <c:v>369</c:v>
                </c:pt>
                <c:pt idx="12">
                  <c:v>345</c:v>
                </c:pt>
                <c:pt idx="13">
                  <c:v>745</c:v>
                </c:pt>
                <c:pt idx="14">
                  <c:v>272</c:v>
                </c:pt>
                <c:pt idx="15">
                  <c:v>-120</c:v>
                </c:pt>
                <c:pt idx="16">
                  <c:v>505</c:v>
                </c:pt>
                <c:pt idx="17">
                  <c:v>246</c:v>
                </c:pt>
                <c:pt idx="18">
                  <c:v>289</c:v>
                </c:pt>
                <c:pt idx="19">
                  <c:v>587</c:v>
                </c:pt>
                <c:pt idx="20">
                  <c:v>155</c:v>
                </c:pt>
                <c:pt idx="21">
                  <c:v>-214</c:v>
                </c:pt>
                <c:pt idx="22">
                  <c:v>325</c:v>
                </c:pt>
                <c:pt idx="23">
                  <c:v>906</c:v>
                </c:pt>
                <c:pt idx="24">
                  <c:v>446</c:v>
                </c:pt>
                <c:pt idx="25">
                  <c:v>49</c:v>
                </c:pt>
                <c:pt idx="26">
                  <c:v>-127</c:v>
                </c:pt>
                <c:pt idx="27">
                  <c:v>-224</c:v>
                </c:pt>
                <c:pt idx="28">
                  <c:v>-256</c:v>
                </c:pt>
                <c:pt idx="29">
                  <c:v>-278</c:v>
                </c:pt>
                <c:pt idx="30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E-416A-BCB4-41204EAB5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9120"/>
        <c:axId val="171709512"/>
      </c:lineChart>
      <c:lineChart>
        <c:grouping val="standard"/>
        <c:varyColors val="0"/>
        <c:ser>
          <c:idx val="1"/>
          <c:order val="1"/>
          <c:tx>
            <c:strRef>
              <c:f>'(前々日と前日)のカロリー差合算と当日朝体重増減関係'!$C$1</c:f>
              <c:strCache>
                <c:ptCount val="1"/>
                <c:pt idx="0">
                  <c:v>右軸：体重増減(kg)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'(前々日と前日)のカロリー差合算と当日朝体重増減関係'!$A$97:$A$127</c:f>
              <c:numCache>
                <c:formatCode>m"月"d"日";@</c:formatCode>
                <c:ptCount val="31"/>
                <c:pt idx="0">
                  <c:v>42580</c:v>
                </c:pt>
                <c:pt idx="1">
                  <c:v>42581</c:v>
                </c:pt>
                <c:pt idx="2">
                  <c:v>42582</c:v>
                </c:pt>
                <c:pt idx="3">
                  <c:v>42583</c:v>
                </c:pt>
                <c:pt idx="4">
                  <c:v>42584</c:v>
                </c:pt>
                <c:pt idx="5">
                  <c:v>42585</c:v>
                </c:pt>
                <c:pt idx="6">
                  <c:v>42586</c:v>
                </c:pt>
                <c:pt idx="7">
                  <c:v>42587</c:v>
                </c:pt>
                <c:pt idx="8">
                  <c:v>42588</c:v>
                </c:pt>
                <c:pt idx="9">
                  <c:v>42589</c:v>
                </c:pt>
                <c:pt idx="10">
                  <c:v>42590</c:v>
                </c:pt>
                <c:pt idx="11">
                  <c:v>42591</c:v>
                </c:pt>
                <c:pt idx="12">
                  <c:v>42592</c:v>
                </c:pt>
                <c:pt idx="13">
                  <c:v>42593</c:v>
                </c:pt>
                <c:pt idx="14">
                  <c:v>42594</c:v>
                </c:pt>
                <c:pt idx="15">
                  <c:v>42595</c:v>
                </c:pt>
                <c:pt idx="16">
                  <c:v>42596</c:v>
                </c:pt>
                <c:pt idx="17">
                  <c:v>42597</c:v>
                </c:pt>
                <c:pt idx="18">
                  <c:v>42598</c:v>
                </c:pt>
                <c:pt idx="19">
                  <c:v>42599</c:v>
                </c:pt>
                <c:pt idx="20">
                  <c:v>42600</c:v>
                </c:pt>
                <c:pt idx="21">
                  <c:v>42601</c:v>
                </c:pt>
                <c:pt idx="22">
                  <c:v>42602</c:v>
                </c:pt>
                <c:pt idx="23">
                  <c:v>42603</c:v>
                </c:pt>
                <c:pt idx="24">
                  <c:v>42604</c:v>
                </c:pt>
                <c:pt idx="25">
                  <c:v>42605</c:v>
                </c:pt>
                <c:pt idx="26">
                  <c:v>42606</c:v>
                </c:pt>
                <c:pt idx="27">
                  <c:v>42607</c:v>
                </c:pt>
                <c:pt idx="28">
                  <c:v>42608</c:v>
                </c:pt>
                <c:pt idx="29">
                  <c:v>42609</c:v>
                </c:pt>
                <c:pt idx="30">
                  <c:v>42610</c:v>
                </c:pt>
              </c:numCache>
            </c:numRef>
          </c:cat>
          <c:val>
            <c:numRef>
              <c:f>'(前々日と前日)のカロリー差合算と当日朝体重増減関係'!$C$97:$C$127</c:f>
              <c:numCache>
                <c:formatCode>General</c:formatCode>
                <c:ptCount val="31"/>
                <c:pt idx="0">
                  <c:v>-0.29999999999999716</c:v>
                </c:pt>
                <c:pt idx="1">
                  <c:v>0.69999999999998863</c:v>
                </c:pt>
                <c:pt idx="2">
                  <c:v>0.30000000000001137</c:v>
                </c:pt>
                <c:pt idx="3">
                  <c:v>-0.20000000000000284</c:v>
                </c:pt>
                <c:pt idx="4">
                  <c:v>-0.40000000000000568</c:v>
                </c:pt>
                <c:pt idx="5">
                  <c:v>0.10000000000000853</c:v>
                </c:pt>
                <c:pt idx="6">
                  <c:v>0</c:v>
                </c:pt>
                <c:pt idx="7">
                  <c:v>0</c:v>
                </c:pt>
                <c:pt idx="8">
                  <c:v>0.29999999999999716</c:v>
                </c:pt>
                <c:pt idx="9">
                  <c:v>-0.5</c:v>
                </c:pt>
                <c:pt idx="10">
                  <c:v>-0.29999999999999716</c:v>
                </c:pt>
                <c:pt idx="11">
                  <c:v>0.29999999999999716</c:v>
                </c:pt>
                <c:pt idx="12">
                  <c:v>-0.60000000000000853</c:v>
                </c:pt>
                <c:pt idx="13">
                  <c:v>0</c:v>
                </c:pt>
                <c:pt idx="14">
                  <c:v>0.60000000000000853</c:v>
                </c:pt>
                <c:pt idx="15">
                  <c:v>-0.5</c:v>
                </c:pt>
                <c:pt idx="16">
                  <c:v>-0.40000000000000568</c:v>
                </c:pt>
                <c:pt idx="17">
                  <c:v>0</c:v>
                </c:pt>
                <c:pt idx="18">
                  <c:v>0.79999999999999716</c:v>
                </c:pt>
                <c:pt idx="19">
                  <c:v>0.10000000000000853</c:v>
                </c:pt>
                <c:pt idx="20">
                  <c:v>-0.10000000000000853</c:v>
                </c:pt>
                <c:pt idx="21">
                  <c:v>0.30000000000001137</c:v>
                </c:pt>
                <c:pt idx="22">
                  <c:v>-0.70000000000000284</c:v>
                </c:pt>
                <c:pt idx="23">
                  <c:v>-0.60000000000000853</c:v>
                </c:pt>
                <c:pt idx="24">
                  <c:v>0.80000000000001137</c:v>
                </c:pt>
                <c:pt idx="25">
                  <c:v>-0.80000000000001137</c:v>
                </c:pt>
                <c:pt idx="26">
                  <c:v>0.90000000000000568</c:v>
                </c:pt>
                <c:pt idx="27">
                  <c:v>0</c:v>
                </c:pt>
                <c:pt idx="28">
                  <c:v>-0.59999999999999432</c:v>
                </c:pt>
                <c:pt idx="29">
                  <c:v>0.29999999999999716</c:v>
                </c:pt>
                <c:pt idx="30">
                  <c:v>-0.60000000000000853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9-4A01-B67D-BB15345B6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0688"/>
        <c:axId val="171709904"/>
      </c:lineChart>
      <c:dateAx>
        <c:axId val="171709120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512"/>
        <c:crosses val="autoZero"/>
        <c:auto val="1"/>
        <c:lblOffset val="100"/>
        <c:baseTimeUnit val="days"/>
      </c:dateAx>
      <c:valAx>
        <c:axId val="171709512"/>
        <c:scaling>
          <c:orientation val="minMax"/>
          <c:max val="15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09120"/>
        <c:crosses val="autoZero"/>
        <c:crossBetween val="between"/>
      </c:valAx>
      <c:valAx>
        <c:axId val="171709904"/>
        <c:scaling>
          <c:orientation val="minMax"/>
          <c:min val="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710688"/>
        <c:crosses val="max"/>
        <c:crossBetween val="between"/>
      </c:valAx>
      <c:dateAx>
        <c:axId val="171710688"/>
        <c:scaling>
          <c:orientation val="minMax"/>
        </c:scaling>
        <c:delete val="1"/>
        <c:axPos val="b"/>
        <c:numFmt formatCode="m&quot;月&quot;d&quot;日&quot;;@" sourceLinked="1"/>
        <c:majorTickMark val="out"/>
        <c:minorTickMark val="none"/>
        <c:tickLblPos val="nextTo"/>
        <c:crossAx val="17170990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-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168728</xdr:colOff>
      <xdr:row>0</xdr:row>
      <xdr:rowOff>0</xdr:rowOff>
    </xdr:from>
    <xdr:to>
      <xdr:col>29</xdr:col>
      <xdr:colOff>595312</xdr:colOff>
      <xdr:row>23</xdr:row>
      <xdr:rowOff>142875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162576</xdr:colOff>
      <xdr:row>24</xdr:row>
      <xdr:rowOff>47624</xdr:rowOff>
    </xdr:from>
    <xdr:to>
      <xdr:col>29</xdr:col>
      <xdr:colOff>595312</xdr:colOff>
      <xdr:row>47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265601</xdr:colOff>
      <xdr:row>48</xdr:row>
      <xdr:rowOff>95250</xdr:rowOff>
    </xdr:from>
    <xdr:to>
      <xdr:col>29</xdr:col>
      <xdr:colOff>598714</xdr:colOff>
      <xdr:row>72</xdr:row>
      <xdr:rowOff>168454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105142</xdr:colOff>
      <xdr:row>0</xdr:row>
      <xdr:rowOff>62204</xdr:rowOff>
    </xdr:from>
    <xdr:to>
      <xdr:col>28</xdr:col>
      <xdr:colOff>16883062</xdr:colOff>
      <xdr:row>37</xdr:row>
      <xdr:rowOff>36756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686248</xdr:colOff>
      <xdr:row>4</xdr:row>
      <xdr:rowOff>124137</xdr:rowOff>
    </xdr:from>
    <xdr:to>
      <xdr:col>7</xdr:col>
      <xdr:colOff>316675</xdr:colOff>
      <xdr:row>5</xdr:row>
      <xdr:rowOff>23504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endCxn id="12" idx="2"/>
        </xdr:cNvCxnSpPr>
      </xdr:nvCxnSpPr>
      <xdr:spPr>
        <a:xfrm flipH="1" flipV="1">
          <a:off x="6040041" y="1311670"/>
          <a:ext cx="323154" cy="136872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430261</xdr:colOff>
      <xdr:row>8</xdr:row>
      <xdr:rowOff>107698</xdr:rowOff>
    </xdr:from>
    <xdr:to>
      <xdr:col>8</xdr:col>
      <xdr:colOff>479961</xdr:colOff>
      <xdr:row>10</xdr:row>
      <xdr:rowOff>50718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endCxn id="20" idx="2"/>
        </xdr:cNvCxnSpPr>
      </xdr:nvCxnSpPr>
      <xdr:spPr>
        <a:xfrm flipH="1" flipV="1">
          <a:off x="7169508" y="2245256"/>
          <a:ext cx="49700" cy="418033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97724</xdr:colOff>
      <xdr:row>6</xdr:row>
      <xdr:rowOff>148878</xdr:rowOff>
    </xdr:from>
    <xdr:to>
      <xdr:col>10</xdr:col>
      <xdr:colOff>686345</xdr:colOff>
      <xdr:row>12</xdr:row>
      <xdr:rowOff>223901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endCxn id="26" idx="2"/>
        </xdr:cNvCxnSpPr>
      </xdr:nvCxnSpPr>
      <xdr:spPr>
        <a:xfrm flipV="1">
          <a:off x="7529699" y="1811423"/>
          <a:ext cx="1281348" cy="1500062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514597</xdr:colOff>
      <xdr:row>0</xdr:row>
      <xdr:rowOff>425533</xdr:rowOff>
    </xdr:from>
    <xdr:ext cx="6288901" cy="3928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482935" y="425533"/>
          <a:ext cx="6288901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 u="sng">
              <a:solidFill>
                <a:srgbClr val="0033CC"/>
              </a:solidFill>
            </a:rPr>
            <a:t>カロリーオーバーだったのに、翌日体重が増えなかったケースと原因の推測</a:t>
          </a:r>
          <a:endParaRPr kumimoji="1" lang="en-US" altLang="ja-JP" sz="1400" b="1" u="sng">
            <a:solidFill>
              <a:srgbClr val="0033CC"/>
            </a:solidFill>
          </a:endParaRPr>
        </a:p>
      </xdr:txBody>
    </xdr:sp>
    <xdr:clientData/>
  </xdr:oneCellAnchor>
  <xdr:oneCellAnchor>
    <xdr:from>
      <xdr:col>4</xdr:col>
      <xdr:colOff>613558</xdr:colOff>
      <xdr:row>2</xdr:row>
      <xdr:rowOff>49481</xdr:rowOff>
    </xdr:from>
    <xdr:ext cx="2866810" cy="56451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581896" y="762001"/>
          <a:ext cx="2866810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①夜は飲み会だったが、妙に代謝が良く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　</a:t>
          </a:r>
          <a:r>
            <a:rPr kumimoji="1" lang="en-US" altLang="ja-JP" sz="1100" u="sng">
              <a:solidFill>
                <a:srgbClr val="0033CC"/>
              </a:solidFill>
            </a:rPr>
            <a:t>10</a:t>
          </a:r>
          <a:r>
            <a:rPr kumimoji="1" lang="ja-JP" altLang="en-US" sz="1100" u="sng">
              <a:solidFill>
                <a:srgbClr val="0033CC"/>
              </a:solidFill>
            </a:rPr>
            <a:t>分おきにトイレに計５－６回行った。</a:t>
          </a:r>
          <a:endParaRPr kumimoji="1" lang="en-US" altLang="ja-JP" sz="1100" u="sng">
            <a:solidFill>
              <a:srgbClr val="0033CC"/>
            </a:solidFill>
          </a:endParaRPr>
        </a:p>
      </xdr:txBody>
    </xdr:sp>
    <xdr:clientData/>
  </xdr:oneCellAnchor>
  <xdr:oneCellAnchor>
    <xdr:from>
      <xdr:col>7</xdr:col>
      <xdr:colOff>312963</xdr:colOff>
      <xdr:row>4</xdr:row>
      <xdr:rowOff>50718</xdr:rowOff>
    </xdr:from>
    <xdr:ext cx="1595309" cy="1036694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359483" y="1238251"/>
          <a:ext cx="1595309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②午後から夜にかけ、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相撲観戦～ちゃんこ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半日座って応援の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消費カロリー分？</a:t>
          </a:r>
          <a:endParaRPr kumimoji="1" lang="en-US" altLang="ja-JP" sz="1100" u="sng">
            <a:solidFill>
              <a:srgbClr val="0033CC"/>
            </a:solidFill>
          </a:endParaRPr>
        </a:p>
      </xdr:txBody>
    </xdr:sp>
    <xdr:clientData/>
  </xdr:oneCellAnchor>
  <xdr:oneCellAnchor>
    <xdr:from>
      <xdr:col>9</xdr:col>
      <xdr:colOff>498515</xdr:colOff>
      <xdr:row>4</xdr:row>
      <xdr:rowOff>74221</xdr:rowOff>
    </xdr:from>
    <xdr:ext cx="1736373" cy="564514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7930490" y="1261754"/>
          <a:ext cx="1736373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③昼ガッツリステーキ、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　夜少な目</a:t>
          </a:r>
          <a:endParaRPr kumimoji="1" lang="en-US" altLang="ja-JP" sz="1100" u="sng">
            <a:solidFill>
              <a:srgbClr val="0033CC"/>
            </a:solidFill>
          </a:endParaRPr>
        </a:p>
      </xdr:txBody>
    </xdr:sp>
    <xdr:clientData/>
  </xdr:oneCellAnchor>
  <xdr:twoCellAnchor>
    <xdr:from>
      <xdr:col>11</xdr:col>
      <xdr:colOff>227610</xdr:colOff>
      <xdr:row>18</xdr:row>
      <xdr:rowOff>188026</xdr:rowOff>
    </xdr:from>
    <xdr:to>
      <xdr:col>12</xdr:col>
      <xdr:colOff>307</xdr:colOff>
      <xdr:row>30</xdr:row>
      <xdr:rowOff>89064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endCxn id="56" idx="0"/>
        </xdr:cNvCxnSpPr>
      </xdr:nvCxnSpPr>
      <xdr:spPr>
        <a:xfrm>
          <a:off x="9045039" y="4700650"/>
          <a:ext cx="465424" cy="2751116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605782</xdr:colOff>
      <xdr:row>33</xdr:row>
      <xdr:rowOff>96842</xdr:rowOff>
    </xdr:from>
    <xdr:ext cx="5391219" cy="3928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0808666" y="8172062"/>
          <a:ext cx="5391219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 u="sng">
              <a:solidFill>
                <a:srgbClr val="FF0000"/>
              </a:solidFill>
            </a:rPr>
            <a:t>カロリー不足だったのに、翌日体重が増えたケースと原因の推測</a:t>
          </a:r>
          <a:endParaRPr kumimoji="1" lang="en-US" altLang="ja-JP" sz="1400" b="1" u="sng">
            <a:solidFill>
              <a:srgbClr val="FF0000"/>
            </a:solidFill>
          </a:endParaRPr>
        </a:p>
      </xdr:txBody>
    </xdr:sp>
    <xdr:clientData/>
  </xdr:oneCellAnchor>
  <xdr:twoCellAnchor>
    <xdr:from>
      <xdr:col>11</xdr:col>
      <xdr:colOff>573974</xdr:colOff>
      <xdr:row>18</xdr:row>
      <xdr:rowOff>128649</xdr:rowOff>
    </xdr:from>
    <xdr:to>
      <xdr:col>12</xdr:col>
      <xdr:colOff>103250</xdr:colOff>
      <xdr:row>23</xdr:row>
      <xdr:rowOff>207818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endCxn id="37" idx="0"/>
        </xdr:cNvCxnSpPr>
      </xdr:nvCxnSpPr>
      <xdr:spPr>
        <a:xfrm>
          <a:off x="9391403" y="4641273"/>
          <a:ext cx="222003" cy="1266701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221428</xdr:colOff>
      <xdr:row>23</xdr:row>
      <xdr:rowOff>207818</xdr:rowOff>
    </xdr:from>
    <xdr:ext cx="1149097" cy="800604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9038857" y="5907974"/>
          <a:ext cx="1149097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&lt;2&gt;27-28</a:t>
          </a:r>
          <a:r>
            <a:rPr kumimoji="1" lang="ja-JP" altLang="en-US" sz="1100">
              <a:solidFill>
                <a:srgbClr val="FF0000"/>
              </a:solidFill>
            </a:rPr>
            <a:t>日共、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     </a:t>
          </a:r>
          <a:r>
            <a:rPr kumimoji="1" lang="ja-JP" altLang="en-US" sz="1100">
              <a:solidFill>
                <a:srgbClr val="FF0000"/>
              </a:solidFill>
            </a:rPr>
            <a:t>便通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回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＝便秘？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13</xdr:col>
      <xdr:colOff>524493</xdr:colOff>
      <xdr:row>18</xdr:row>
      <xdr:rowOff>207817</xdr:rowOff>
    </xdr:from>
    <xdr:to>
      <xdr:col>13</xdr:col>
      <xdr:colOff>610550</xdr:colOff>
      <xdr:row>23</xdr:row>
      <xdr:rowOff>195448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endCxn id="43" idx="0"/>
        </xdr:cNvCxnSpPr>
      </xdr:nvCxnSpPr>
      <xdr:spPr>
        <a:xfrm>
          <a:off x="10727377" y="4720441"/>
          <a:ext cx="86057" cy="1175163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544288</xdr:colOff>
      <xdr:row>23</xdr:row>
      <xdr:rowOff>195448</xdr:rowOff>
    </xdr:from>
    <xdr:ext cx="1517980" cy="564514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10054444" y="5895604"/>
          <a:ext cx="1517980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&lt;3&gt;TB</a:t>
          </a:r>
          <a:r>
            <a:rPr kumimoji="1" lang="ja-JP" altLang="en-US" sz="1100">
              <a:solidFill>
                <a:srgbClr val="FF0000"/>
              </a:solidFill>
            </a:rPr>
            <a:t>後に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  </a:t>
          </a:r>
          <a:r>
            <a:rPr kumimoji="1" lang="ja-JP" altLang="en-US" sz="1100">
              <a:solidFill>
                <a:srgbClr val="FF0000"/>
              </a:solidFill>
            </a:rPr>
            <a:t>「飲酒＋夕食」２回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15</xdr:col>
      <xdr:colOff>59376</xdr:colOff>
      <xdr:row>18</xdr:row>
      <xdr:rowOff>79168</xdr:rowOff>
    </xdr:from>
    <xdr:to>
      <xdr:col>15</xdr:col>
      <xdr:colOff>307508</xdr:colOff>
      <xdr:row>22</xdr:row>
      <xdr:rowOff>115043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>
          <a:endCxn id="49" idx="0"/>
        </xdr:cNvCxnSpPr>
      </xdr:nvCxnSpPr>
      <xdr:spPr>
        <a:xfrm>
          <a:off x="11647714" y="4591792"/>
          <a:ext cx="248132" cy="985900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577688</xdr:colOff>
      <xdr:row>22</xdr:row>
      <xdr:rowOff>115043</xdr:rowOff>
    </xdr:from>
    <xdr:ext cx="2230547" cy="564514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10780572" y="5577692"/>
          <a:ext cx="2230547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&lt;4&gt;</a:t>
          </a:r>
          <a:r>
            <a:rPr kumimoji="1" lang="ja-JP" altLang="en-US" sz="1100">
              <a:solidFill>
                <a:srgbClr val="FF0000"/>
              </a:solidFill>
            </a:rPr>
            <a:t>脂質過剰、前日食物繊維不足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便通１＝回便秘？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19</xdr:col>
      <xdr:colOff>675262</xdr:colOff>
      <xdr:row>17</xdr:row>
      <xdr:rowOff>108859</xdr:rowOff>
    </xdr:from>
    <xdr:to>
      <xdr:col>20</xdr:col>
      <xdr:colOff>49480</xdr:colOff>
      <xdr:row>26</xdr:row>
      <xdr:rowOff>226727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>
          <a:endCxn id="53" idx="0"/>
        </xdr:cNvCxnSpPr>
      </xdr:nvCxnSpPr>
      <xdr:spPr>
        <a:xfrm flipH="1">
          <a:off x="15034509" y="4383975"/>
          <a:ext cx="66946" cy="2255427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358738</xdr:colOff>
      <xdr:row>26</xdr:row>
      <xdr:rowOff>226727</xdr:rowOff>
    </xdr:from>
    <xdr:ext cx="2018501" cy="1036694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4025258" y="6639402"/>
          <a:ext cx="2018501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&lt;6&gt;</a:t>
          </a:r>
          <a:r>
            <a:rPr kumimoji="1" lang="ja-JP" altLang="en-US" sz="1100">
              <a:solidFill>
                <a:srgbClr val="FF0000"/>
              </a:solidFill>
            </a:rPr>
            <a:t>？？？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ベストな栄養素摂取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便通も翌日とも３回なのに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なぜ？？？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14</xdr:col>
      <xdr:colOff>573694</xdr:colOff>
      <xdr:row>28</xdr:row>
      <xdr:rowOff>169541</xdr:rowOff>
    </xdr:from>
    <xdr:ext cx="1595309" cy="1036694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1469305" y="7057230"/>
          <a:ext cx="1595309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&lt;5&gt;</a:t>
          </a:r>
          <a:r>
            <a:rPr kumimoji="1" lang="ja-JP" altLang="en-US" sz="1100">
              <a:solidFill>
                <a:srgbClr val="FF0000"/>
              </a:solidFill>
            </a:rPr>
            <a:t>日本酒３杯？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翌日、</a:t>
          </a:r>
          <a:r>
            <a:rPr kumimoji="1" lang="en-US" altLang="ja-JP" sz="1100">
              <a:solidFill>
                <a:srgbClr val="FF0000"/>
              </a:solidFill>
            </a:rPr>
            <a:t>TB</a:t>
          </a:r>
          <a:r>
            <a:rPr kumimoji="1" lang="ja-JP" altLang="en-US" sz="1100">
              <a:solidFill>
                <a:srgbClr val="FF0000"/>
              </a:solidFill>
            </a:rPr>
            <a:t>＋節制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で取り戻せたから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良かったけど・・・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15</xdr:col>
      <xdr:colOff>678622</xdr:colOff>
      <xdr:row>18</xdr:row>
      <xdr:rowOff>69272</xdr:rowOff>
    </xdr:from>
    <xdr:to>
      <xdr:col>16</xdr:col>
      <xdr:colOff>118753</xdr:colOff>
      <xdr:row>28</xdr:row>
      <xdr:rowOff>169541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endCxn id="23" idx="0"/>
        </xdr:cNvCxnSpPr>
      </xdr:nvCxnSpPr>
      <xdr:spPr>
        <a:xfrm flipH="1">
          <a:off x="12266960" y="4581896"/>
          <a:ext cx="132858" cy="2475334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307</xdr:colOff>
      <xdr:row>19</xdr:row>
      <xdr:rowOff>128650</xdr:rowOff>
    </xdr:from>
    <xdr:to>
      <xdr:col>21</xdr:col>
      <xdr:colOff>554181</xdr:colOff>
      <xdr:row>30</xdr:row>
      <xdr:rowOff>89064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endCxn id="56" idx="0"/>
        </xdr:cNvCxnSpPr>
      </xdr:nvCxnSpPr>
      <xdr:spPr>
        <a:xfrm flipH="1">
          <a:off x="9510463" y="4878779"/>
          <a:ext cx="6788420" cy="2572987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48000</xdr:colOff>
      <xdr:row>1</xdr:row>
      <xdr:rowOff>148442</xdr:rowOff>
    </xdr:from>
    <xdr:to>
      <xdr:col>21</xdr:col>
      <xdr:colOff>663039</xdr:colOff>
      <xdr:row>2</xdr:row>
      <xdr:rowOff>218951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>
          <a:endCxn id="64" idx="0"/>
        </xdr:cNvCxnSpPr>
      </xdr:nvCxnSpPr>
      <xdr:spPr>
        <a:xfrm flipH="1">
          <a:off x="15792702" y="623455"/>
          <a:ext cx="615039" cy="308016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13605</xdr:colOff>
      <xdr:row>2</xdr:row>
      <xdr:rowOff>218951</xdr:rowOff>
    </xdr:from>
    <xdr:ext cx="1454244" cy="564514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15065580" y="931471"/>
          <a:ext cx="1454244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④夜中の内に大便で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　出たから？</a:t>
          </a:r>
          <a:endParaRPr kumimoji="1" lang="en-US" altLang="ja-JP" sz="1100" u="sng">
            <a:solidFill>
              <a:srgbClr val="0033CC"/>
            </a:solidFill>
          </a:endParaRPr>
        </a:p>
      </xdr:txBody>
    </xdr:sp>
    <xdr:clientData/>
  </xdr:oneCellAnchor>
  <xdr:twoCellAnchor>
    <xdr:from>
      <xdr:col>23</xdr:col>
      <xdr:colOff>79764</xdr:colOff>
      <xdr:row>16</xdr:row>
      <xdr:rowOff>108857</xdr:rowOff>
    </xdr:from>
    <xdr:to>
      <xdr:col>23</xdr:col>
      <xdr:colOff>316675</xdr:colOff>
      <xdr:row>25</xdr:row>
      <xdr:rowOff>126528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endCxn id="29" idx="0"/>
        </xdr:cNvCxnSpPr>
      </xdr:nvCxnSpPr>
      <xdr:spPr>
        <a:xfrm flipH="1">
          <a:off x="17209920" y="4146468"/>
          <a:ext cx="236911" cy="2155229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80410</xdr:colOff>
      <xdr:row>25</xdr:row>
      <xdr:rowOff>126528</xdr:rowOff>
    </xdr:from>
    <xdr:ext cx="1384161" cy="564514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6517839" y="6301697"/>
          <a:ext cx="138416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&lt;7&gt;</a:t>
          </a:r>
          <a:r>
            <a:rPr kumimoji="1" lang="ja-JP" altLang="en-US" sz="1100">
              <a:solidFill>
                <a:srgbClr val="FF0000"/>
              </a:solidFill>
            </a:rPr>
            <a:t>寝る前の発泡酒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en-US" altLang="ja-JP" sz="1100">
              <a:solidFill>
                <a:srgbClr val="FF0000"/>
              </a:solidFill>
            </a:rPr>
            <a:t>(500ml</a:t>
          </a:r>
          <a:r>
            <a:rPr kumimoji="1" lang="ja-JP" altLang="en-US" sz="1100">
              <a:solidFill>
                <a:srgbClr val="FF0000"/>
              </a:solidFill>
            </a:rPr>
            <a:t>缶</a:t>
          </a:r>
          <a:r>
            <a:rPr kumimoji="1" lang="en-US" altLang="ja-JP" sz="1100">
              <a:solidFill>
                <a:srgbClr val="FF0000"/>
              </a:solidFill>
            </a:rPr>
            <a:t>)</a:t>
          </a:r>
          <a:r>
            <a:rPr kumimoji="1" lang="ja-JP" altLang="en-US" sz="1100">
              <a:solidFill>
                <a:srgbClr val="FF0000"/>
              </a:solidFill>
            </a:rPr>
            <a:t>？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23</xdr:col>
      <xdr:colOff>851065</xdr:colOff>
      <xdr:row>21</xdr:row>
      <xdr:rowOff>188024</xdr:rowOff>
    </xdr:from>
    <xdr:to>
      <xdr:col>24</xdr:col>
      <xdr:colOff>562582</xdr:colOff>
      <xdr:row>28</xdr:row>
      <xdr:rowOff>6538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endCxn id="35" idx="0"/>
        </xdr:cNvCxnSpPr>
      </xdr:nvCxnSpPr>
      <xdr:spPr>
        <a:xfrm>
          <a:off x="17981221" y="5413168"/>
          <a:ext cx="819881" cy="1481059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940132</xdr:colOff>
      <xdr:row>23</xdr:row>
      <xdr:rowOff>158338</xdr:rowOff>
    </xdr:from>
    <xdr:to>
      <xdr:col>23</xdr:col>
      <xdr:colOff>957234</xdr:colOff>
      <xdr:row>31</xdr:row>
      <xdr:rowOff>146322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>
          <a:endCxn id="36" idx="0"/>
        </xdr:cNvCxnSpPr>
      </xdr:nvCxnSpPr>
      <xdr:spPr>
        <a:xfrm>
          <a:off x="18070288" y="5858494"/>
          <a:ext cx="17102" cy="1888035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1014356</xdr:colOff>
      <xdr:row>28</xdr:row>
      <xdr:rowOff>6538</xdr:rowOff>
    </xdr:from>
    <xdr:ext cx="1313180" cy="564514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8144512" y="6894227"/>
          <a:ext cx="1313180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&lt;8&gt;</a:t>
          </a:r>
          <a:r>
            <a:rPr kumimoji="1" lang="ja-JP" altLang="en-US" sz="1100">
              <a:solidFill>
                <a:srgbClr val="FF0000"/>
              </a:solidFill>
            </a:rPr>
            <a:t>？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寝る前の水分？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23</xdr:col>
      <xdr:colOff>159579</xdr:colOff>
      <xdr:row>31</xdr:row>
      <xdr:rowOff>146322</xdr:rowOff>
    </xdr:from>
    <xdr:ext cx="1595309" cy="800604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7289735" y="7746529"/>
          <a:ext cx="1595309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&lt;9&gt;</a:t>
          </a:r>
          <a:r>
            <a:rPr kumimoji="1" lang="ja-JP" altLang="en-US" sz="1100">
              <a:solidFill>
                <a:srgbClr val="FF0000"/>
              </a:solidFill>
            </a:rPr>
            <a:t>ゴルフ</a:t>
          </a:r>
          <a:r>
            <a:rPr kumimoji="1" lang="en-US" altLang="ja-JP" sz="1100">
              <a:solidFill>
                <a:srgbClr val="FF0000"/>
              </a:solidFill>
            </a:rPr>
            <a:t>SC</a:t>
          </a:r>
          <a:r>
            <a:rPr kumimoji="1" lang="ja-JP" altLang="en-US" sz="1100">
              <a:solidFill>
                <a:srgbClr val="FF0000"/>
              </a:solidFill>
            </a:rPr>
            <a:t>の割に？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体脂肪率は減っていた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ので、筋肉量が増加？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23</xdr:col>
      <xdr:colOff>1008165</xdr:colOff>
      <xdr:row>6</xdr:row>
      <xdr:rowOff>226375</xdr:rowOff>
    </xdr:from>
    <xdr:ext cx="1031051" cy="800604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8138321" y="1888920"/>
          <a:ext cx="1031051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⑤前日までの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消費・燃焼の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タイムラグ？</a:t>
          </a:r>
          <a:endParaRPr kumimoji="1" lang="en-US" altLang="ja-JP" sz="1100" u="sng">
            <a:solidFill>
              <a:srgbClr val="0033CC"/>
            </a:solidFill>
          </a:endParaRPr>
        </a:p>
      </xdr:txBody>
    </xdr:sp>
    <xdr:clientData/>
  </xdr:oneCellAnchor>
  <xdr:twoCellAnchor>
    <xdr:from>
      <xdr:col>24</xdr:col>
      <xdr:colOff>39584</xdr:colOff>
      <xdr:row>10</xdr:row>
      <xdr:rowOff>76953</xdr:rowOff>
    </xdr:from>
    <xdr:to>
      <xdr:col>24</xdr:col>
      <xdr:colOff>415327</xdr:colOff>
      <xdr:row>14</xdr:row>
      <xdr:rowOff>9896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endCxn id="38" idx="2"/>
        </xdr:cNvCxnSpPr>
      </xdr:nvCxnSpPr>
      <xdr:spPr>
        <a:xfrm flipV="1">
          <a:off x="18278104" y="2689524"/>
          <a:ext cx="375743" cy="882970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307</xdr:colOff>
      <xdr:row>21</xdr:row>
      <xdr:rowOff>29687</xdr:rowOff>
    </xdr:from>
    <xdr:to>
      <xdr:col>26</xdr:col>
      <xdr:colOff>494804</xdr:colOff>
      <xdr:row>30</xdr:row>
      <xdr:rowOff>89064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endCxn id="56" idx="0"/>
        </xdr:cNvCxnSpPr>
      </xdr:nvCxnSpPr>
      <xdr:spPr>
        <a:xfrm flipH="1">
          <a:off x="9510463" y="5254831"/>
          <a:ext cx="10608316" cy="2196935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562582</xdr:colOff>
      <xdr:row>21</xdr:row>
      <xdr:rowOff>49479</xdr:rowOff>
    </xdr:from>
    <xdr:to>
      <xdr:col>26</xdr:col>
      <xdr:colOff>494805</xdr:colOff>
      <xdr:row>28</xdr:row>
      <xdr:rowOff>6538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endCxn id="35" idx="0"/>
        </xdr:cNvCxnSpPr>
      </xdr:nvCxnSpPr>
      <xdr:spPr>
        <a:xfrm flipH="1">
          <a:off x="18801102" y="5274623"/>
          <a:ext cx="1317678" cy="1619604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577247</xdr:colOff>
      <xdr:row>5</xdr:row>
      <xdr:rowOff>205417</xdr:rowOff>
    </xdr:from>
    <xdr:ext cx="1172116" cy="800604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0705922" y="1630455"/>
          <a:ext cx="1172116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⑥十分な便通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飲酒前酵素摂取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効果？</a:t>
          </a:r>
          <a:endParaRPr kumimoji="1" lang="en-US" altLang="ja-JP" sz="1100" u="sng">
            <a:solidFill>
              <a:srgbClr val="0033CC"/>
            </a:solidFill>
          </a:endParaRPr>
        </a:p>
      </xdr:txBody>
    </xdr:sp>
    <xdr:clientData/>
  </xdr:oneCellAnchor>
  <xdr:twoCellAnchor>
    <xdr:from>
      <xdr:col>28</xdr:col>
      <xdr:colOff>470577</xdr:colOff>
      <xdr:row>9</xdr:row>
      <xdr:rowOff>36203</xdr:rowOff>
    </xdr:from>
    <xdr:to>
      <xdr:col>28</xdr:col>
      <xdr:colOff>472539</xdr:colOff>
      <xdr:row>13</xdr:row>
      <xdr:rowOff>51955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endCxn id="42" idx="2"/>
        </xdr:cNvCxnSpPr>
      </xdr:nvCxnSpPr>
      <xdr:spPr>
        <a:xfrm flipH="1" flipV="1">
          <a:off x="21291979" y="2411268"/>
          <a:ext cx="1962" cy="965778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1991547</xdr:colOff>
      <xdr:row>23</xdr:row>
      <xdr:rowOff>118753</xdr:rowOff>
    </xdr:from>
    <xdr:to>
      <xdr:col>28</xdr:col>
      <xdr:colOff>2008910</xdr:colOff>
      <xdr:row>24</xdr:row>
      <xdr:rowOff>176388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>
          <a:endCxn id="47" idx="0"/>
        </xdr:cNvCxnSpPr>
      </xdr:nvCxnSpPr>
      <xdr:spPr>
        <a:xfrm flipH="1">
          <a:off x="22812949" y="5818909"/>
          <a:ext cx="17363" cy="295141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1475316</xdr:colOff>
      <xdr:row>24</xdr:row>
      <xdr:rowOff>176388</xdr:rowOff>
    </xdr:from>
    <xdr:ext cx="1032462" cy="328423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2296718" y="6114050"/>
          <a:ext cx="1032462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u="sng">
              <a:solidFill>
                <a:srgbClr val="FF0000"/>
              </a:solidFill>
            </a:rPr>
            <a:t>&lt;10&gt;</a:t>
          </a:r>
          <a:r>
            <a:rPr kumimoji="1" lang="ja-JP" altLang="en-US" sz="1100" u="sng">
              <a:solidFill>
                <a:srgbClr val="FF0000"/>
              </a:solidFill>
            </a:rPr>
            <a:t>原因不明</a:t>
          </a:r>
          <a:endParaRPr kumimoji="1" lang="en-US" altLang="ja-JP" sz="1100" u="sng">
            <a:solidFill>
              <a:srgbClr val="FF0000"/>
            </a:solidFill>
          </a:endParaRPr>
        </a:p>
      </xdr:txBody>
    </xdr:sp>
    <xdr:clientData/>
  </xdr:oneCellAnchor>
  <xdr:twoCellAnchor>
    <xdr:from>
      <xdr:col>28</xdr:col>
      <xdr:colOff>2172195</xdr:colOff>
      <xdr:row>20</xdr:row>
      <xdr:rowOff>118753</xdr:rowOff>
    </xdr:from>
    <xdr:to>
      <xdr:col>28</xdr:col>
      <xdr:colOff>2657076</xdr:colOff>
      <xdr:row>21</xdr:row>
      <xdr:rowOff>64561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>
          <a:endCxn id="52" idx="0"/>
        </xdr:cNvCxnSpPr>
      </xdr:nvCxnSpPr>
      <xdr:spPr>
        <a:xfrm>
          <a:off x="22993597" y="5106389"/>
          <a:ext cx="484881" cy="183316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2212082</xdr:colOff>
      <xdr:row>21</xdr:row>
      <xdr:rowOff>64561</xdr:rowOff>
    </xdr:from>
    <xdr:ext cx="889987" cy="564514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3033484" y="5289705"/>
          <a:ext cx="889987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u="sng">
              <a:solidFill>
                <a:srgbClr val="FF0000"/>
              </a:solidFill>
            </a:rPr>
            <a:t>&lt;11&gt;</a:t>
          </a:r>
          <a:r>
            <a:rPr kumimoji="1" lang="ja-JP" altLang="en-US" sz="1100" u="sng">
              <a:solidFill>
                <a:srgbClr val="FF0000"/>
              </a:solidFill>
            </a:rPr>
            <a:t>便秘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＆運動不足</a:t>
          </a:r>
          <a:endParaRPr kumimoji="1" lang="en-US" altLang="ja-JP" sz="1100" u="sng">
            <a:solidFill>
              <a:srgbClr val="FF0000"/>
            </a:solidFill>
          </a:endParaRPr>
        </a:p>
      </xdr:txBody>
    </xdr:sp>
    <xdr:clientData/>
  </xdr:oneCellAnchor>
  <xdr:twoCellAnchor>
    <xdr:from>
      <xdr:col>28</xdr:col>
      <xdr:colOff>2523507</xdr:colOff>
      <xdr:row>17</xdr:row>
      <xdr:rowOff>227611</xdr:rowOff>
    </xdr:from>
    <xdr:to>
      <xdr:col>28</xdr:col>
      <xdr:colOff>2657076</xdr:colOff>
      <xdr:row>21</xdr:row>
      <xdr:rowOff>64561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endCxn id="52" idx="0"/>
        </xdr:cNvCxnSpPr>
      </xdr:nvCxnSpPr>
      <xdr:spPr>
        <a:xfrm>
          <a:off x="23344909" y="4502727"/>
          <a:ext cx="133569" cy="786978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69273</xdr:colOff>
      <xdr:row>30</xdr:row>
      <xdr:rowOff>89064</xdr:rowOff>
    </xdr:from>
    <xdr:ext cx="1247521" cy="328423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8886702" y="7451766"/>
          <a:ext cx="124752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&lt;1&gt;TB</a:t>
          </a:r>
          <a:r>
            <a:rPr kumimoji="1" lang="ja-JP" altLang="en-US" sz="1100">
              <a:solidFill>
                <a:srgbClr val="FF0000"/>
              </a:solidFill>
            </a:rPr>
            <a:t>後の油断？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28</xdr:col>
      <xdr:colOff>2016995</xdr:colOff>
      <xdr:row>1</xdr:row>
      <xdr:rowOff>3931</xdr:rowOff>
    </xdr:from>
    <xdr:to>
      <xdr:col>28</xdr:col>
      <xdr:colOff>2303318</xdr:colOff>
      <xdr:row>1</xdr:row>
      <xdr:rowOff>138545</xdr:rowOff>
    </xdr:to>
    <xdr:cxnSp macro="">
      <xdr:nvCxnSpPr>
        <xdr:cNvPr id="108" name="直線矢印コネクタ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CxnSpPr>
          <a:stCxn id="109" idx="3"/>
        </xdr:cNvCxnSpPr>
      </xdr:nvCxnSpPr>
      <xdr:spPr>
        <a:xfrm>
          <a:off x="22833450" y="471522"/>
          <a:ext cx="286323" cy="134614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844879</xdr:colOff>
      <xdr:row>0</xdr:row>
      <xdr:rowOff>189265</xdr:rowOff>
    </xdr:from>
    <xdr:ext cx="1172116" cy="564514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21661334" y="189265"/>
          <a:ext cx="1172116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⑦酒屋の酒場は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none">
              <a:solidFill>
                <a:srgbClr val="0033CC"/>
              </a:solidFill>
            </a:rPr>
            <a:t>　</a:t>
          </a:r>
          <a:r>
            <a:rPr kumimoji="1" lang="ja-JP" altLang="en-US" sz="1100" u="sng">
              <a:solidFill>
                <a:srgbClr val="0033CC"/>
              </a:solidFill>
            </a:rPr>
            <a:t>太らない神話</a:t>
          </a:r>
          <a:endParaRPr kumimoji="1" lang="en-US" altLang="ja-JP" sz="1100" u="sng">
            <a:solidFill>
              <a:srgbClr val="0033CC"/>
            </a:solidFill>
          </a:endParaRPr>
        </a:p>
      </xdr:txBody>
    </xdr:sp>
    <xdr:clientData/>
  </xdr:oneCellAnchor>
  <xdr:oneCellAnchor>
    <xdr:from>
      <xdr:col>28</xdr:col>
      <xdr:colOff>2952876</xdr:colOff>
      <xdr:row>25</xdr:row>
      <xdr:rowOff>47598</xdr:rowOff>
    </xdr:from>
    <xdr:ext cx="1314591" cy="564514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3923427" y="6120271"/>
          <a:ext cx="131459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u="sng">
              <a:solidFill>
                <a:srgbClr val="FF0000"/>
              </a:solidFill>
            </a:rPr>
            <a:t>&lt;12&gt;</a:t>
          </a:r>
          <a:r>
            <a:rPr kumimoji="1" lang="ja-JP" altLang="en-US" sz="1100" u="sng">
              <a:solidFill>
                <a:srgbClr val="FF0000"/>
              </a:solidFill>
            </a:rPr>
            <a:t>食物繊維不足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による便通不足</a:t>
          </a:r>
          <a:endParaRPr kumimoji="1" lang="en-US" altLang="ja-JP" sz="1100" u="sng">
            <a:solidFill>
              <a:srgbClr val="FF0000"/>
            </a:solidFill>
          </a:endParaRPr>
        </a:p>
      </xdr:txBody>
    </xdr:sp>
    <xdr:clientData/>
  </xdr:oneCellAnchor>
  <xdr:twoCellAnchor>
    <xdr:from>
      <xdr:col>28</xdr:col>
      <xdr:colOff>3008415</xdr:colOff>
      <xdr:row>20</xdr:row>
      <xdr:rowOff>74221</xdr:rowOff>
    </xdr:from>
    <xdr:to>
      <xdr:col>28</xdr:col>
      <xdr:colOff>3610172</xdr:colOff>
      <xdr:row>25</xdr:row>
      <xdr:rowOff>47598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>
          <a:endCxn id="57" idx="0"/>
        </xdr:cNvCxnSpPr>
      </xdr:nvCxnSpPr>
      <xdr:spPr>
        <a:xfrm>
          <a:off x="23829817" y="5061857"/>
          <a:ext cx="601757" cy="1160910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3374572</xdr:colOff>
      <xdr:row>18</xdr:row>
      <xdr:rowOff>19792</xdr:rowOff>
    </xdr:from>
    <xdr:to>
      <xdr:col>28</xdr:col>
      <xdr:colOff>4123908</xdr:colOff>
      <xdr:row>22</xdr:row>
      <xdr:rowOff>86476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endCxn id="60" idx="0"/>
        </xdr:cNvCxnSpPr>
      </xdr:nvCxnSpPr>
      <xdr:spPr>
        <a:xfrm>
          <a:off x="24195974" y="4532416"/>
          <a:ext cx="749336" cy="1016709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3396080</xdr:colOff>
      <xdr:row>22</xdr:row>
      <xdr:rowOff>86476</xdr:rowOff>
    </xdr:from>
    <xdr:ext cx="1455655" cy="564514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4366631" y="5459353"/>
          <a:ext cx="1455655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u="sng">
              <a:solidFill>
                <a:srgbClr val="FF0000"/>
              </a:solidFill>
            </a:rPr>
            <a:t>&lt;13&gt;</a:t>
          </a:r>
          <a:r>
            <a:rPr kumimoji="1" lang="ja-JP" altLang="en-US" sz="1100" u="sng">
              <a:solidFill>
                <a:srgbClr val="FF0000"/>
              </a:solidFill>
            </a:rPr>
            <a:t>翌朝出張早起き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による便通不足</a:t>
          </a:r>
          <a:endParaRPr kumimoji="1" lang="en-US" altLang="ja-JP" sz="1100" u="sng">
            <a:solidFill>
              <a:srgbClr val="FF0000"/>
            </a:solidFill>
          </a:endParaRPr>
        </a:p>
      </xdr:txBody>
    </xdr:sp>
    <xdr:clientData/>
  </xdr:oneCellAnchor>
  <xdr:oneCellAnchor>
    <xdr:from>
      <xdr:col>28</xdr:col>
      <xdr:colOff>6325907</xdr:colOff>
      <xdr:row>7</xdr:row>
      <xdr:rowOff>1592</xdr:rowOff>
    </xdr:from>
    <xdr:ext cx="1877437" cy="564514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7296458" y="1875491"/>
          <a:ext cx="1877437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⑧体重計壊れていたため、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　壊れる前の体重のまま</a:t>
          </a:r>
          <a:endParaRPr kumimoji="1" lang="en-US" altLang="ja-JP" sz="1100" u="sng">
            <a:solidFill>
              <a:srgbClr val="0033CC"/>
            </a:solidFill>
          </a:endParaRPr>
        </a:p>
      </xdr:txBody>
    </xdr:sp>
    <xdr:clientData/>
  </xdr:oneCellAnchor>
  <xdr:twoCellAnchor>
    <xdr:from>
      <xdr:col>28</xdr:col>
      <xdr:colOff>7258439</xdr:colOff>
      <xdr:row>9</xdr:row>
      <xdr:rowOff>99576</xdr:rowOff>
    </xdr:from>
    <xdr:to>
      <xdr:col>28</xdr:col>
      <xdr:colOff>7264626</xdr:colOff>
      <xdr:row>15</xdr:row>
      <xdr:rowOff>46653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>
          <a:stCxn id="63" idx="2"/>
          <a:endCxn id="8" idx="0"/>
        </xdr:cNvCxnSpPr>
      </xdr:nvCxnSpPr>
      <xdr:spPr>
        <a:xfrm flipH="1">
          <a:off x="28228990" y="2440005"/>
          <a:ext cx="6187" cy="1346668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6896878</xdr:colOff>
      <xdr:row>15</xdr:row>
      <xdr:rowOff>46653</xdr:rowOff>
    </xdr:from>
    <xdr:to>
      <xdr:col>28</xdr:col>
      <xdr:colOff>7620000</xdr:colOff>
      <xdr:row>16</xdr:row>
      <xdr:rowOff>178836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7867429" y="3786673"/>
          <a:ext cx="723122" cy="365449"/>
        </a:xfrm>
        <a:prstGeom prst="ellipse">
          <a:avLst/>
        </a:prstGeom>
        <a:noFill/>
        <a:ln>
          <a:solidFill>
            <a:srgbClr val="0070C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28</xdr:col>
      <xdr:colOff>7605685</xdr:colOff>
      <xdr:row>0</xdr:row>
      <xdr:rowOff>33753</xdr:rowOff>
    </xdr:from>
    <xdr:ext cx="1595309" cy="1036694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8427087" y="33753"/>
          <a:ext cx="1595309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②午後から夜にかけ、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相撲観戦～ちゃんこ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半日座って応援の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消費カロリー分？</a:t>
          </a:r>
          <a:endParaRPr kumimoji="1" lang="en-US" altLang="ja-JP" sz="1100" u="sng">
            <a:solidFill>
              <a:srgbClr val="0033CC"/>
            </a:solidFill>
          </a:endParaRPr>
        </a:p>
      </xdr:txBody>
    </xdr:sp>
    <xdr:clientData/>
  </xdr:oneCellAnchor>
  <xdr:twoCellAnchor>
    <xdr:from>
      <xdr:col>28</xdr:col>
      <xdr:colOff>8403340</xdr:colOff>
      <xdr:row>3</xdr:row>
      <xdr:rowOff>120422</xdr:rowOff>
    </xdr:from>
    <xdr:to>
      <xdr:col>28</xdr:col>
      <xdr:colOff>8668988</xdr:colOff>
      <xdr:row>8</xdr:row>
      <xdr:rowOff>49481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stCxn id="66" idx="2"/>
        </xdr:cNvCxnSpPr>
      </xdr:nvCxnSpPr>
      <xdr:spPr>
        <a:xfrm>
          <a:off x="29224742" y="1070447"/>
          <a:ext cx="265648" cy="1116592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9311703</xdr:colOff>
      <xdr:row>0</xdr:row>
      <xdr:rowOff>63796</xdr:rowOff>
    </xdr:from>
    <xdr:ext cx="1877437" cy="564514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30282254" y="63796"/>
          <a:ext cx="1877437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⑨夜アルコールが多く、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　魚ヘルシーだったから？</a:t>
          </a:r>
          <a:endParaRPr kumimoji="1" lang="en-US" altLang="ja-JP" sz="1100" u="sng">
            <a:solidFill>
              <a:srgbClr val="0033CC"/>
            </a:solidFill>
          </a:endParaRPr>
        </a:p>
      </xdr:txBody>
    </xdr:sp>
    <xdr:clientData/>
  </xdr:oneCellAnchor>
  <xdr:twoCellAnchor>
    <xdr:from>
      <xdr:col>28</xdr:col>
      <xdr:colOff>9678390</xdr:colOff>
      <xdr:row>1</xdr:row>
      <xdr:rowOff>153297</xdr:rowOff>
    </xdr:from>
    <xdr:to>
      <xdr:col>28</xdr:col>
      <xdr:colOff>10250422</xdr:colOff>
      <xdr:row>3</xdr:row>
      <xdr:rowOff>59378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>
          <a:stCxn id="68" idx="2"/>
        </xdr:cNvCxnSpPr>
      </xdr:nvCxnSpPr>
      <xdr:spPr>
        <a:xfrm flipH="1">
          <a:off x="30499792" y="628310"/>
          <a:ext cx="572032" cy="381093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10883896</xdr:colOff>
      <xdr:row>21</xdr:row>
      <xdr:rowOff>226434</xdr:rowOff>
    </xdr:from>
    <xdr:ext cx="1245021" cy="800604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31854447" y="5366047"/>
          <a:ext cx="1245021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u="sng">
              <a:solidFill>
                <a:srgbClr val="FF0000"/>
              </a:solidFill>
            </a:rPr>
            <a:t>&lt;14&gt;0</a:t>
          </a:r>
          <a:r>
            <a:rPr kumimoji="1" lang="ja-JP" altLang="en-US" sz="1100" u="sng">
              <a:solidFill>
                <a:srgbClr val="FF0000"/>
              </a:solidFill>
            </a:rPr>
            <a:t>時過ぎ夜食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サイゼリヤにて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アラビアータ他</a:t>
          </a:r>
          <a:endParaRPr kumimoji="1" lang="en-US" altLang="ja-JP" sz="1100" u="sng">
            <a:solidFill>
              <a:srgbClr val="FF0000"/>
            </a:solidFill>
          </a:endParaRPr>
        </a:p>
      </xdr:txBody>
    </xdr:sp>
    <xdr:clientData/>
  </xdr:oneCellAnchor>
  <xdr:twoCellAnchor>
    <xdr:from>
      <xdr:col>28</xdr:col>
      <xdr:colOff>11506407</xdr:colOff>
      <xdr:row>16</xdr:row>
      <xdr:rowOff>-1</xdr:rowOff>
    </xdr:from>
    <xdr:to>
      <xdr:col>28</xdr:col>
      <xdr:colOff>12053455</xdr:colOff>
      <xdr:row>21</xdr:row>
      <xdr:rowOff>226434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>
          <a:stCxn id="70" idx="0"/>
        </xdr:cNvCxnSpPr>
      </xdr:nvCxnSpPr>
      <xdr:spPr>
        <a:xfrm flipV="1">
          <a:off x="32327809" y="4037610"/>
          <a:ext cx="547048" cy="141396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14211814</xdr:colOff>
      <xdr:row>21</xdr:row>
      <xdr:rowOff>133128</xdr:rowOff>
    </xdr:from>
    <xdr:ext cx="1245021" cy="564514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35028269" y="5449810"/>
          <a:ext cx="124502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u="sng">
              <a:solidFill>
                <a:srgbClr val="FF0000"/>
              </a:solidFill>
            </a:rPr>
            <a:t>&lt;16&gt;0</a:t>
          </a:r>
          <a:r>
            <a:rPr kumimoji="1" lang="ja-JP" altLang="en-US" sz="1100" u="sng">
              <a:solidFill>
                <a:srgbClr val="FF0000"/>
              </a:solidFill>
            </a:rPr>
            <a:t>時過つけ麺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en-US" altLang="ja-JP" sz="1100" u="sng">
              <a:solidFill>
                <a:srgbClr val="FF0000"/>
              </a:solidFill>
            </a:rPr>
            <a:t>   </a:t>
          </a:r>
          <a:r>
            <a:rPr kumimoji="1" lang="ja-JP" altLang="en-US" sz="1100" u="sng">
              <a:solidFill>
                <a:srgbClr val="FF0000"/>
              </a:solidFill>
            </a:rPr>
            <a:t>きつね蕎麦</a:t>
          </a:r>
          <a:endParaRPr kumimoji="1" lang="en-US" altLang="ja-JP" sz="1100" u="sng">
            <a:solidFill>
              <a:srgbClr val="FF0000"/>
            </a:solidFill>
          </a:endParaRPr>
        </a:p>
      </xdr:txBody>
    </xdr:sp>
    <xdr:clientData/>
  </xdr:oneCellAnchor>
  <xdr:twoCellAnchor>
    <xdr:from>
      <xdr:col>28</xdr:col>
      <xdr:colOff>14834325</xdr:colOff>
      <xdr:row>16</xdr:row>
      <xdr:rowOff>34637</xdr:rowOff>
    </xdr:from>
    <xdr:to>
      <xdr:col>28</xdr:col>
      <xdr:colOff>15240000</xdr:colOff>
      <xdr:row>21</xdr:row>
      <xdr:rowOff>133128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CxnSpPr>
          <a:stCxn id="74" idx="0"/>
        </xdr:cNvCxnSpPr>
      </xdr:nvCxnSpPr>
      <xdr:spPr>
        <a:xfrm flipV="1">
          <a:off x="35650780" y="4139046"/>
          <a:ext cx="405675" cy="131076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11006764</xdr:colOff>
      <xdr:row>0</xdr:row>
      <xdr:rowOff>32695</xdr:rowOff>
    </xdr:from>
    <xdr:ext cx="1901611" cy="800604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31977315" y="32695"/>
          <a:ext cx="1901611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⑨夜アルコールが多く、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　アルコール外</a:t>
          </a:r>
          <a:r>
            <a:rPr kumimoji="1" lang="en-US" altLang="ja-JP" sz="1100" u="sng">
              <a:solidFill>
                <a:srgbClr val="0033CC"/>
              </a:solidFill>
            </a:rPr>
            <a:t>423Kcal</a:t>
          </a:r>
          <a:r>
            <a:rPr kumimoji="1" lang="ja-JP" altLang="en-US" sz="1100" u="sng">
              <a:solidFill>
                <a:srgbClr val="0033CC"/>
              </a:solidFill>
            </a:rPr>
            <a:t>のみ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　運動</a:t>
          </a:r>
          <a:r>
            <a:rPr kumimoji="1" lang="en-US" altLang="ja-JP" sz="1100" u="sng">
              <a:solidFill>
                <a:srgbClr val="0033CC"/>
              </a:solidFill>
            </a:rPr>
            <a:t>(</a:t>
          </a:r>
          <a:r>
            <a:rPr kumimoji="1" lang="ja-JP" altLang="en-US" sz="1100" u="sng">
              <a:solidFill>
                <a:srgbClr val="0033CC"/>
              </a:solidFill>
            </a:rPr>
            <a:t>ｳｫｰｷﾝｸﾞ</a:t>
          </a:r>
          <a:r>
            <a:rPr kumimoji="1" lang="en-US" altLang="ja-JP" sz="1100" u="sng">
              <a:solidFill>
                <a:srgbClr val="0033CC"/>
              </a:solidFill>
            </a:rPr>
            <a:t>)</a:t>
          </a:r>
          <a:r>
            <a:rPr kumimoji="1" lang="ja-JP" altLang="en-US" sz="1100" u="sng">
              <a:solidFill>
                <a:srgbClr val="0033CC"/>
              </a:solidFill>
            </a:rPr>
            <a:t>量</a:t>
          </a:r>
          <a:r>
            <a:rPr kumimoji="1" lang="en-US" altLang="ja-JP" sz="1100" u="sng">
              <a:solidFill>
                <a:srgbClr val="0033CC"/>
              </a:solidFill>
            </a:rPr>
            <a:t> 407Kcal</a:t>
          </a:r>
        </a:p>
      </xdr:txBody>
    </xdr:sp>
    <xdr:clientData/>
  </xdr:oneCellAnchor>
  <xdr:twoCellAnchor>
    <xdr:from>
      <xdr:col>28</xdr:col>
      <xdr:colOff>11726884</xdr:colOff>
      <xdr:row>2</xdr:row>
      <xdr:rowOff>120779</xdr:rowOff>
    </xdr:from>
    <xdr:to>
      <xdr:col>28</xdr:col>
      <xdr:colOff>11957570</xdr:colOff>
      <xdr:row>10</xdr:row>
      <xdr:rowOff>128650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CxnSpPr>
          <a:stCxn id="78" idx="2"/>
        </xdr:cNvCxnSpPr>
      </xdr:nvCxnSpPr>
      <xdr:spPr>
        <a:xfrm flipH="1">
          <a:off x="32548286" y="833299"/>
          <a:ext cx="230686" cy="1907922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12229059</xdr:colOff>
      <xdr:row>25</xdr:row>
      <xdr:rowOff>63150</xdr:rowOff>
    </xdr:from>
    <xdr:ext cx="1563954" cy="1036694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33199610" y="6135823"/>
          <a:ext cx="1563954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u="sng">
              <a:solidFill>
                <a:srgbClr val="FF0000"/>
              </a:solidFill>
            </a:rPr>
            <a:t>&lt;15&gt;</a:t>
          </a:r>
          <a:r>
            <a:rPr kumimoji="1" lang="ja-JP" altLang="en-US" sz="1100" u="sng">
              <a:solidFill>
                <a:srgbClr val="FF0000"/>
              </a:solidFill>
            </a:rPr>
            <a:t>夕食時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アルコール少</a:t>
          </a:r>
          <a:r>
            <a:rPr kumimoji="1" lang="en-US" altLang="ja-JP" sz="1100" u="sng">
              <a:solidFill>
                <a:srgbClr val="FF0000"/>
              </a:solidFill>
            </a:rPr>
            <a:t>(338Kcal)</a:t>
          </a:r>
        </a:p>
        <a:p>
          <a:r>
            <a:rPr kumimoji="1" lang="ja-JP" altLang="en-US" sz="1100" u="sng">
              <a:solidFill>
                <a:srgbClr val="FF0000"/>
              </a:solidFill>
            </a:rPr>
            <a:t>粉もの</a:t>
          </a:r>
          <a:r>
            <a:rPr kumimoji="1" lang="en-US" altLang="ja-JP" sz="1100" u="sng">
              <a:solidFill>
                <a:srgbClr val="FF0000"/>
              </a:solidFill>
            </a:rPr>
            <a:t>651Kcal,</a:t>
          </a:r>
        </a:p>
        <a:p>
          <a:r>
            <a:rPr kumimoji="1" lang="ja-JP" altLang="en-US" sz="1100" u="sng">
              <a:solidFill>
                <a:srgbClr val="FF0000"/>
              </a:solidFill>
            </a:rPr>
            <a:t>運動量</a:t>
          </a:r>
          <a:r>
            <a:rPr kumimoji="1" lang="en-US" altLang="ja-JP" sz="1100" u="sng">
              <a:solidFill>
                <a:srgbClr val="FF0000"/>
              </a:solidFill>
            </a:rPr>
            <a:t>429Kcal</a:t>
          </a:r>
        </a:p>
      </xdr:txBody>
    </xdr:sp>
    <xdr:clientData/>
  </xdr:oneCellAnchor>
  <xdr:twoCellAnchor>
    <xdr:from>
      <xdr:col>28</xdr:col>
      <xdr:colOff>13011036</xdr:colOff>
      <xdr:row>17</xdr:row>
      <xdr:rowOff>227611</xdr:rowOff>
    </xdr:from>
    <xdr:to>
      <xdr:col>28</xdr:col>
      <xdr:colOff>13745689</xdr:colOff>
      <xdr:row>25</xdr:row>
      <xdr:rowOff>63150</xdr:rowOff>
    </xdr:to>
    <xdr:cxnSp macro="">
      <xdr:nvCxnSpPr>
        <xdr:cNvPr id="86" name="直線矢印コネクタ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>
          <a:stCxn id="85" idx="0"/>
        </xdr:cNvCxnSpPr>
      </xdr:nvCxnSpPr>
      <xdr:spPr>
        <a:xfrm flipV="1">
          <a:off x="33832438" y="4502727"/>
          <a:ext cx="734653" cy="17355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13168355</xdr:colOff>
      <xdr:row>5</xdr:row>
      <xdr:rowOff>1593</xdr:rowOff>
    </xdr:from>
    <xdr:ext cx="1454244" cy="564514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34138906" y="1408960"/>
          <a:ext cx="1454244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0033CC"/>
              </a:solidFill>
            </a:rPr>
            <a:t>⑩前々屋の粉ものが</a:t>
          </a:r>
          <a:endParaRPr kumimoji="1" lang="en-US" altLang="ja-JP" sz="1100" u="sng">
            <a:solidFill>
              <a:srgbClr val="0033CC"/>
            </a:solidFill>
          </a:endParaRPr>
        </a:p>
        <a:p>
          <a:r>
            <a:rPr kumimoji="1" lang="ja-JP" altLang="en-US" sz="1100" u="sng">
              <a:solidFill>
                <a:srgbClr val="0033CC"/>
              </a:solidFill>
            </a:rPr>
            <a:t>　出た？</a:t>
          </a:r>
          <a:endParaRPr kumimoji="1" lang="en-US" altLang="ja-JP" sz="1100" u="sng">
            <a:solidFill>
              <a:srgbClr val="0033CC"/>
            </a:solidFill>
          </a:endParaRPr>
        </a:p>
      </xdr:txBody>
    </xdr:sp>
    <xdr:clientData/>
  </xdr:oneCellAnchor>
  <xdr:twoCellAnchor>
    <xdr:from>
      <xdr:col>28</xdr:col>
      <xdr:colOff>13895477</xdr:colOff>
      <xdr:row>7</xdr:row>
      <xdr:rowOff>91092</xdr:rowOff>
    </xdr:from>
    <xdr:to>
      <xdr:col>28</xdr:col>
      <xdr:colOff>13904027</xdr:colOff>
      <xdr:row>9</xdr:row>
      <xdr:rowOff>59377</xdr:rowOff>
    </xdr:to>
    <xdr:cxnSp macro="">
      <xdr:nvCxnSpPr>
        <xdr:cNvPr id="90" name="直線矢印コネクタ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>
          <a:stCxn id="89" idx="2"/>
        </xdr:cNvCxnSpPr>
      </xdr:nvCxnSpPr>
      <xdr:spPr>
        <a:xfrm>
          <a:off x="34716879" y="1991145"/>
          <a:ext cx="8550" cy="443297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14834325</xdr:colOff>
      <xdr:row>16</xdr:row>
      <xdr:rowOff>59376</xdr:rowOff>
    </xdr:from>
    <xdr:to>
      <xdr:col>28</xdr:col>
      <xdr:colOff>16071273</xdr:colOff>
      <xdr:row>21</xdr:row>
      <xdr:rowOff>133128</xdr:rowOff>
    </xdr:to>
    <xdr:cxnSp macro="">
      <xdr:nvCxnSpPr>
        <xdr:cNvPr id="95" name="直線矢印コネクタ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>
          <a:stCxn id="74" idx="0"/>
        </xdr:cNvCxnSpPr>
      </xdr:nvCxnSpPr>
      <xdr:spPr>
        <a:xfrm flipV="1">
          <a:off x="35655727" y="4096987"/>
          <a:ext cx="1236948" cy="126128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10250422</xdr:colOff>
      <xdr:row>1</xdr:row>
      <xdr:rowOff>138545</xdr:rowOff>
    </xdr:from>
    <xdr:to>
      <xdr:col>28</xdr:col>
      <xdr:colOff>10865923</xdr:colOff>
      <xdr:row>1</xdr:row>
      <xdr:rowOff>153297</xdr:rowOff>
    </xdr:to>
    <xdr:cxnSp macro="">
      <xdr:nvCxnSpPr>
        <xdr:cNvPr id="81" name="直線矢印コネクタ 80">
          <a:extLst>
            <a:ext uri="{FF2B5EF4-FFF2-40B4-BE49-F238E27FC236}">
              <a16:creationId xmlns:a16="http://schemas.microsoft.com/office/drawing/2014/main" id="{B19769D0-83FD-4376-A2A0-D72CEF541262}"/>
            </a:ext>
          </a:extLst>
        </xdr:cNvPr>
        <xdr:cNvCxnSpPr>
          <a:stCxn id="68" idx="2"/>
        </xdr:cNvCxnSpPr>
      </xdr:nvCxnSpPr>
      <xdr:spPr>
        <a:xfrm flipV="1">
          <a:off x="31071824" y="613558"/>
          <a:ext cx="615501" cy="14752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108857</xdr:colOff>
      <xdr:row>38</xdr:row>
      <xdr:rowOff>13607</xdr:rowOff>
    </xdr:from>
    <xdr:to>
      <xdr:col>18</xdr:col>
      <xdr:colOff>639536</xdr:colOff>
      <xdr:row>65</xdr:row>
      <xdr:rowOff>136070</xdr:rowOff>
    </xdr:to>
    <xdr:graphicFrame macro="">
      <xdr:nvGraphicFramePr>
        <xdr:cNvPr id="72" name="グラフ 71">
          <a:extLst>
            <a:ext uri="{FF2B5EF4-FFF2-40B4-BE49-F238E27FC236}">
              <a16:creationId xmlns:a16="http://schemas.microsoft.com/office/drawing/2014/main" id="{58072816-2FD4-4D57-904A-F8565BF7D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18</xdr:col>
      <xdr:colOff>802821</xdr:colOff>
      <xdr:row>28</xdr:row>
      <xdr:rowOff>122465</xdr:rowOff>
    </xdr:to>
    <xdr:graphicFrame macro="">
      <xdr:nvGraphicFramePr>
        <xdr:cNvPr id="69" name="グラフ 68">
          <a:extLst>
            <a:ext uri="{FF2B5EF4-FFF2-40B4-BE49-F238E27FC236}">
              <a16:creationId xmlns:a16="http://schemas.microsoft.com/office/drawing/2014/main" id="{77F37FD6-54A9-4D34-9DE7-B7B061023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29688</xdr:colOff>
      <xdr:row>29</xdr:row>
      <xdr:rowOff>39584</xdr:rowOff>
    </xdr:from>
    <xdr:to>
      <xdr:col>18</xdr:col>
      <xdr:colOff>802821</xdr:colOff>
      <xdr:row>56</xdr:row>
      <xdr:rowOff>162049</xdr:rowOff>
    </xdr:to>
    <xdr:graphicFrame macro="">
      <xdr:nvGraphicFramePr>
        <xdr:cNvPr id="70" name="グラフ 69">
          <a:extLst>
            <a:ext uri="{FF2B5EF4-FFF2-40B4-BE49-F238E27FC236}">
              <a16:creationId xmlns:a16="http://schemas.microsoft.com/office/drawing/2014/main" id="{307A4DAC-A602-43D4-A533-6ED929B63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57</xdr:row>
      <xdr:rowOff>0</xdr:rowOff>
    </xdr:from>
    <xdr:to>
      <xdr:col>18</xdr:col>
      <xdr:colOff>802821</xdr:colOff>
      <xdr:row>84</xdr:row>
      <xdr:rowOff>122465</xdr:rowOff>
    </xdr:to>
    <xdr:graphicFrame macro="">
      <xdr:nvGraphicFramePr>
        <xdr:cNvPr id="71" name="グラフ 70">
          <a:extLst>
            <a:ext uri="{FF2B5EF4-FFF2-40B4-BE49-F238E27FC236}">
              <a16:creationId xmlns:a16="http://schemas.microsoft.com/office/drawing/2014/main" id="{12F2DCA4-0FF4-4266-ABF4-E5A23C32B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18</xdr:col>
      <xdr:colOff>789214</xdr:colOff>
      <xdr:row>112</xdr:row>
      <xdr:rowOff>122465</xdr:rowOff>
    </xdr:to>
    <xdr:graphicFrame macro="">
      <xdr:nvGraphicFramePr>
        <xdr:cNvPr id="72" name="グラフ 71">
          <a:extLst>
            <a:ext uri="{FF2B5EF4-FFF2-40B4-BE49-F238E27FC236}">
              <a16:creationId xmlns:a16="http://schemas.microsoft.com/office/drawing/2014/main" id="{B7EBD0AA-7444-4AB2-8328-E723333F0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113</xdr:row>
      <xdr:rowOff>0</xdr:rowOff>
    </xdr:from>
    <xdr:to>
      <xdr:col>18</xdr:col>
      <xdr:colOff>775606</xdr:colOff>
      <xdr:row>140</xdr:row>
      <xdr:rowOff>122465</xdr:rowOff>
    </xdr:to>
    <xdr:graphicFrame macro="">
      <xdr:nvGraphicFramePr>
        <xdr:cNvPr id="73" name="グラフ 72">
          <a:extLst>
            <a:ext uri="{FF2B5EF4-FFF2-40B4-BE49-F238E27FC236}">
              <a16:creationId xmlns:a16="http://schemas.microsoft.com/office/drawing/2014/main" id="{6818B1EF-4023-4BBE-8AA0-812BBA9A7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-1</xdr:colOff>
      <xdr:row>141</xdr:row>
      <xdr:rowOff>0</xdr:rowOff>
    </xdr:from>
    <xdr:to>
      <xdr:col>28</xdr:col>
      <xdr:colOff>353785</xdr:colOff>
      <xdr:row>168</xdr:row>
      <xdr:rowOff>122465</xdr:rowOff>
    </xdr:to>
    <xdr:graphicFrame macro="">
      <xdr:nvGraphicFramePr>
        <xdr:cNvPr id="74" name="グラフ 73">
          <a:extLst>
            <a:ext uri="{FF2B5EF4-FFF2-40B4-BE49-F238E27FC236}">
              <a16:creationId xmlns:a16="http://schemas.microsoft.com/office/drawing/2014/main" id="{87ACDA03-1B0B-4C52-9364-AD3E21F98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252"/>
  <sheetViews>
    <sheetView tabSelected="1" zoomScale="55" zoomScaleNormal="55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AE33" sqref="AE33"/>
    </sheetView>
  </sheetViews>
  <sheetFormatPr defaultColWidth="8.85546875" defaultRowHeight="18.45" x14ac:dyDescent="0.65"/>
  <cols>
    <col min="1" max="1" width="9.640625" customWidth="1"/>
    <col min="6" max="6" width="12.140625" customWidth="1"/>
    <col min="7" max="7" width="9.140625" customWidth="1"/>
    <col min="8" max="8" width="12.35546875" bestFit="1" customWidth="1"/>
    <col min="9" max="10" width="10.640625" style="5" customWidth="1"/>
    <col min="11" max="11" width="10.140625" style="5" customWidth="1"/>
    <col min="12" max="12" width="12.640625" customWidth="1"/>
    <col min="13" max="13" width="13.35546875" customWidth="1"/>
    <col min="21" max="21" width="11.35546875" customWidth="1"/>
    <col min="22" max="22" width="4.5" customWidth="1"/>
  </cols>
  <sheetData>
    <row r="1" spans="1:13" s="3" customFormat="1" ht="36.9" x14ac:dyDescent="0.65">
      <c r="A1" s="2" t="s">
        <v>0</v>
      </c>
      <c r="B1" s="2" t="s">
        <v>9</v>
      </c>
      <c r="C1" s="2" t="s">
        <v>1</v>
      </c>
      <c r="D1" s="2" t="s">
        <v>12</v>
      </c>
      <c r="E1" s="2" t="s">
        <v>2</v>
      </c>
      <c r="F1" s="2" t="s">
        <v>3</v>
      </c>
      <c r="G1" s="7" t="s">
        <v>4</v>
      </c>
      <c r="H1" s="2" t="s">
        <v>5</v>
      </c>
      <c r="I1" s="4" t="s">
        <v>6</v>
      </c>
      <c r="J1" s="6" t="s">
        <v>7</v>
      </c>
      <c r="K1" s="6" t="s">
        <v>11</v>
      </c>
      <c r="L1" s="7" t="s">
        <v>10</v>
      </c>
      <c r="M1" s="7" t="s">
        <v>8</v>
      </c>
    </row>
    <row r="2" spans="1:13" x14ac:dyDescent="0.65">
      <c r="A2" s="1">
        <v>42485</v>
      </c>
      <c r="B2">
        <v>82.4</v>
      </c>
      <c r="C2">
        <v>82.2</v>
      </c>
      <c r="D2">
        <f>IF(C2=0,B2,(B2+C2)/2)</f>
        <v>82.300000000000011</v>
      </c>
      <c r="E2">
        <v>0</v>
      </c>
      <c r="F2">
        <v>982</v>
      </c>
      <c r="G2">
        <v>0</v>
      </c>
      <c r="H2">
        <f t="shared" ref="H2:H42" si="0">F2-G2</f>
        <v>982</v>
      </c>
      <c r="I2" s="5">
        <f>((0.1238+(0.0481*B2+(0.0234*175)-(0.0138*53)-0.5473*1))*1000/4.186)</f>
        <v>1649.1973244147157</v>
      </c>
      <c r="J2" s="5">
        <f>1911+(I2*1.3-1911)*2/3-I2</f>
        <v>417.1070234113713</v>
      </c>
      <c r="K2" s="5">
        <v>177</v>
      </c>
      <c r="L2">
        <f>95+23+82+30</f>
        <v>230</v>
      </c>
    </row>
    <row r="3" spans="1:13" x14ac:dyDescent="0.65">
      <c r="A3" s="1">
        <v>42486</v>
      </c>
      <c r="B3">
        <v>82.4</v>
      </c>
      <c r="D3">
        <f t="shared" ref="D3:D64" si="1">IF(C3=0,B3,(B3+C3)/2)</f>
        <v>82.4</v>
      </c>
      <c r="E3">
        <f t="shared" ref="E3:E52" si="2">B3-$B$2</f>
        <v>0</v>
      </c>
      <c r="F3">
        <v>2574</v>
      </c>
      <c r="G3">
        <v>422</v>
      </c>
      <c r="H3">
        <f t="shared" si="0"/>
        <v>2152</v>
      </c>
      <c r="I3" s="5">
        <f t="shared" ref="I3:I41" si="3">((0.1238+(0.0481*B3+(0.0234*175)-(0.0138*53)-0.5473*1))*1000/4.186)</f>
        <v>1649.1973244147157</v>
      </c>
      <c r="J3" s="5">
        <f t="shared" ref="J3:J66" si="4">1911+(I3*1.3-1911)*2/3-I3</f>
        <v>417.1070234113713</v>
      </c>
      <c r="K3" s="5">
        <v>309</v>
      </c>
      <c r="L3">
        <f>33+84+12+325+346+168</f>
        <v>968</v>
      </c>
      <c r="M3">
        <f>L3+G3</f>
        <v>1390</v>
      </c>
    </row>
    <row r="4" spans="1:13" x14ac:dyDescent="0.65">
      <c r="A4" s="1">
        <v>42487</v>
      </c>
      <c r="B4">
        <v>83</v>
      </c>
      <c r="D4">
        <f t="shared" si="1"/>
        <v>83</v>
      </c>
      <c r="E4">
        <f t="shared" si="2"/>
        <v>0.59999999999999432</v>
      </c>
      <c r="F4">
        <v>1092</v>
      </c>
      <c r="G4">
        <f>211+105</f>
        <v>316</v>
      </c>
      <c r="H4">
        <f t="shared" si="0"/>
        <v>776</v>
      </c>
      <c r="I4" s="5">
        <f t="shared" si="3"/>
        <v>1656.0917343526039</v>
      </c>
      <c r="J4" s="5">
        <f t="shared" si="4"/>
        <v>416.1877687529859</v>
      </c>
      <c r="K4" s="5">
        <v>212</v>
      </c>
      <c r="L4">
        <f>25+73+328+44</f>
        <v>470</v>
      </c>
      <c r="M4">
        <f t="shared" ref="M4:M44" si="5">L4+G4</f>
        <v>786</v>
      </c>
    </row>
    <row r="5" spans="1:13" x14ac:dyDescent="0.65">
      <c r="A5" s="1">
        <v>42488</v>
      </c>
      <c r="B5">
        <v>82.4</v>
      </c>
      <c r="C5">
        <v>81.599999999999994</v>
      </c>
      <c r="D5">
        <f t="shared" si="1"/>
        <v>82</v>
      </c>
      <c r="E5">
        <f t="shared" si="2"/>
        <v>0</v>
      </c>
      <c r="F5">
        <v>1516</v>
      </c>
      <c r="G5">
        <v>80</v>
      </c>
      <c r="H5">
        <f t="shared" si="0"/>
        <v>1436</v>
      </c>
      <c r="I5" s="5">
        <f t="shared" si="3"/>
        <v>1649.1973244147157</v>
      </c>
      <c r="J5" s="5">
        <f t="shared" si="4"/>
        <v>417.1070234113713</v>
      </c>
      <c r="K5" s="5">
        <v>636</v>
      </c>
      <c r="L5">
        <f>14+10+27+50+80+195+41</f>
        <v>417</v>
      </c>
      <c r="M5">
        <f t="shared" si="5"/>
        <v>497</v>
      </c>
    </row>
    <row r="6" spans="1:13" x14ac:dyDescent="0.65">
      <c r="A6" s="1">
        <v>42489</v>
      </c>
      <c r="B6">
        <v>81.400000000000006</v>
      </c>
      <c r="D6">
        <f t="shared" si="1"/>
        <v>81.400000000000006</v>
      </c>
      <c r="E6">
        <f t="shared" si="2"/>
        <v>-1</v>
      </c>
      <c r="F6">
        <v>1228</v>
      </c>
      <c r="G6">
        <v>270</v>
      </c>
      <c r="H6">
        <f t="shared" si="0"/>
        <v>958</v>
      </c>
      <c r="I6" s="5">
        <f t="shared" si="3"/>
        <v>1637.7066411849021</v>
      </c>
      <c r="J6" s="5">
        <f t="shared" si="4"/>
        <v>418.63911450867977</v>
      </c>
      <c r="K6" s="5">
        <v>264</v>
      </c>
      <c r="L6" s="8">
        <f>42+41+217+96+25+64+93+150</f>
        <v>728</v>
      </c>
      <c r="M6">
        <f t="shared" si="5"/>
        <v>998</v>
      </c>
    </row>
    <row r="7" spans="1:13" x14ac:dyDescent="0.65">
      <c r="A7" s="1">
        <v>42490</v>
      </c>
      <c r="B7">
        <v>81.400000000000006</v>
      </c>
      <c r="D7">
        <f t="shared" si="1"/>
        <v>81.400000000000006</v>
      </c>
      <c r="E7">
        <f t="shared" si="2"/>
        <v>-1</v>
      </c>
      <c r="F7">
        <v>2150</v>
      </c>
      <c r="G7">
        <f>153+128+108+298+160</f>
        <v>847</v>
      </c>
      <c r="H7">
        <f t="shared" si="0"/>
        <v>1303</v>
      </c>
      <c r="I7" s="5">
        <f t="shared" si="3"/>
        <v>1637.7066411849021</v>
      </c>
      <c r="J7" s="5">
        <f t="shared" si="4"/>
        <v>418.63911450867977</v>
      </c>
      <c r="K7" s="5">
        <v>272</v>
      </c>
      <c r="L7">
        <f>94+206+50+63+257+144</f>
        <v>814</v>
      </c>
      <c r="M7">
        <f t="shared" si="5"/>
        <v>1661</v>
      </c>
    </row>
    <row r="8" spans="1:13" x14ac:dyDescent="0.65">
      <c r="A8" s="1">
        <v>42491</v>
      </c>
      <c r="B8">
        <v>81.400000000000006</v>
      </c>
      <c r="D8">
        <f t="shared" si="1"/>
        <v>81.400000000000006</v>
      </c>
      <c r="E8">
        <f t="shared" si="2"/>
        <v>-1</v>
      </c>
      <c r="F8">
        <v>3117</v>
      </c>
      <c r="G8">
        <f>493+140</f>
        <v>633</v>
      </c>
      <c r="H8">
        <f t="shared" si="0"/>
        <v>2484</v>
      </c>
      <c r="I8" s="5">
        <f t="shared" si="3"/>
        <v>1637.7066411849021</v>
      </c>
      <c r="J8" s="5">
        <f t="shared" si="4"/>
        <v>418.63911450867977</v>
      </c>
      <c r="K8" s="5">
        <v>399</v>
      </c>
      <c r="L8">
        <f>14+4+12+504+261+104</f>
        <v>899</v>
      </c>
      <c r="M8">
        <f t="shared" si="5"/>
        <v>1532</v>
      </c>
    </row>
    <row r="9" spans="1:13" x14ac:dyDescent="0.65">
      <c r="A9" s="1">
        <v>42492</v>
      </c>
      <c r="B9">
        <v>81.599999999999994</v>
      </c>
      <c r="C9">
        <v>80.8</v>
      </c>
      <c r="D9">
        <f t="shared" si="1"/>
        <v>81.199999999999989</v>
      </c>
      <c r="E9">
        <f t="shared" si="2"/>
        <v>-0.80000000000001137</v>
      </c>
      <c r="F9">
        <v>1432</v>
      </c>
      <c r="G9">
        <v>240</v>
      </c>
      <c r="H9">
        <f t="shared" si="0"/>
        <v>1192</v>
      </c>
      <c r="I9" s="5">
        <f t="shared" si="3"/>
        <v>1640.0047778308647</v>
      </c>
      <c r="J9" s="5">
        <f t="shared" si="4"/>
        <v>418.33269628921812</v>
      </c>
      <c r="K9" s="5">
        <v>341</v>
      </c>
      <c r="L9">
        <f>346-240+231+116</f>
        <v>453</v>
      </c>
      <c r="M9">
        <f t="shared" si="5"/>
        <v>693</v>
      </c>
    </row>
    <row r="10" spans="1:13" x14ac:dyDescent="0.65">
      <c r="A10" s="1">
        <v>42493</v>
      </c>
      <c r="B10">
        <v>80.8</v>
      </c>
      <c r="D10">
        <f t="shared" si="1"/>
        <v>80.8</v>
      </c>
      <c r="E10">
        <f t="shared" si="2"/>
        <v>-1.6000000000000085</v>
      </c>
      <c r="F10">
        <v>1829</v>
      </c>
      <c r="G10">
        <v>320</v>
      </c>
      <c r="H10">
        <f t="shared" si="0"/>
        <v>1509</v>
      </c>
      <c r="I10" s="5">
        <f t="shared" si="3"/>
        <v>1630.8122312470139</v>
      </c>
      <c r="J10" s="5">
        <f t="shared" si="4"/>
        <v>419.55836916706517</v>
      </c>
      <c r="K10" s="5">
        <v>128</v>
      </c>
      <c r="L10">
        <f>457-320+136+268+199+125+248+238</f>
        <v>1351</v>
      </c>
      <c r="M10">
        <f t="shared" si="5"/>
        <v>1671</v>
      </c>
    </row>
    <row r="11" spans="1:13" x14ac:dyDescent="0.65">
      <c r="A11" s="1">
        <v>42494</v>
      </c>
      <c r="B11">
        <v>80.8</v>
      </c>
      <c r="D11">
        <f t="shared" si="1"/>
        <v>80.8</v>
      </c>
      <c r="E11">
        <f t="shared" si="2"/>
        <v>-1.6000000000000085</v>
      </c>
      <c r="F11">
        <v>2022</v>
      </c>
      <c r="G11">
        <f>102+351+36</f>
        <v>489</v>
      </c>
      <c r="H11">
        <f t="shared" si="0"/>
        <v>1533</v>
      </c>
      <c r="I11" s="5">
        <f t="shared" si="3"/>
        <v>1630.8122312470139</v>
      </c>
      <c r="J11" s="5">
        <f t="shared" si="4"/>
        <v>419.55836916706517</v>
      </c>
      <c r="K11" s="5">
        <v>899</v>
      </c>
      <c r="L11">
        <f>37+5+45+57+217+291</f>
        <v>652</v>
      </c>
      <c r="M11">
        <f t="shared" si="5"/>
        <v>1141</v>
      </c>
    </row>
    <row r="12" spans="1:13" x14ac:dyDescent="0.65">
      <c r="A12" s="1">
        <v>42495</v>
      </c>
      <c r="B12">
        <v>80.8</v>
      </c>
      <c r="D12">
        <f t="shared" si="1"/>
        <v>80.8</v>
      </c>
      <c r="E12">
        <f t="shared" si="2"/>
        <v>-1.6000000000000085</v>
      </c>
      <c r="F12">
        <v>2494</v>
      </c>
      <c r="G12">
        <f>320+102+408</f>
        <v>830</v>
      </c>
      <c r="H12">
        <f t="shared" si="0"/>
        <v>1664</v>
      </c>
      <c r="I12" s="5">
        <f t="shared" si="3"/>
        <v>1630.8122312470139</v>
      </c>
      <c r="J12" s="5">
        <f t="shared" si="4"/>
        <v>419.55836916706517</v>
      </c>
      <c r="K12" s="5">
        <v>940</v>
      </c>
      <c r="L12">
        <f>398+449</f>
        <v>847</v>
      </c>
      <c r="M12">
        <f t="shared" si="5"/>
        <v>1677</v>
      </c>
    </row>
    <row r="13" spans="1:13" x14ac:dyDescent="0.65">
      <c r="A13" s="1">
        <v>42496</v>
      </c>
      <c r="B13">
        <v>80.8</v>
      </c>
      <c r="D13">
        <f t="shared" si="1"/>
        <v>80.8</v>
      </c>
      <c r="E13">
        <f t="shared" si="2"/>
        <v>-1.6000000000000085</v>
      </c>
      <c r="F13">
        <v>2680</v>
      </c>
      <c r="G13">
        <f>202+965+240+160</f>
        <v>1567</v>
      </c>
      <c r="H13">
        <f t="shared" si="0"/>
        <v>1113</v>
      </c>
      <c r="I13" s="5">
        <f t="shared" si="3"/>
        <v>1630.8122312470139</v>
      </c>
      <c r="J13" s="5">
        <f t="shared" si="4"/>
        <v>419.55836916706517</v>
      </c>
      <c r="K13" s="5">
        <v>668</v>
      </c>
      <c r="L13">
        <f>97+84+188+100+28+110+59+15+113+105</f>
        <v>899</v>
      </c>
      <c r="M13">
        <f t="shared" si="5"/>
        <v>2466</v>
      </c>
    </row>
    <row r="14" spans="1:13" x14ac:dyDescent="0.65">
      <c r="A14" s="1">
        <v>42497</v>
      </c>
      <c r="B14">
        <v>81.3</v>
      </c>
      <c r="C14">
        <v>80.2</v>
      </c>
      <c r="D14">
        <f t="shared" si="1"/>
        <v>80.75</v>
      </c>
      <c r="E14">
        <f t="shared" si="2"/>
        <v>-1.1000000000000085</v>
      </c>
      <c r="F14">
        <v>1350</v>
      </c>
      <c r="G14">
        <f>204+404</f>
        <v>608</v>
      </c>
      <c r="H14">
        <f t="shared" si="0"/>
        <v>742</v>
      </c>
      <c r="I14" s="5">
        <f t="shared" si="3"/>
        <v>1636.557572861921</v>
      </c>
      <c r="J14" s="5">
        <f t="shared" si="4"/>
        <v>418.79232361841059</v>
      </c>
      <c r="K14" s="5">
        <v>592</v>
      </c>
      <c r="L14">
        <f>72+328+13+168+165</f>
        <v>746</v>
      </c>
      <c r="M14">
        <f t="shared" si="5"/>
        <v>1354</v>
      </c>
    </row>
    <row r="15" spans="1:13" x14ac:dyDescent="0.65">
      <c r="A15" s="1">
        <v>42498</v>
      </c>
      <c r="B15">
        <v>80.599999999999994</v>
      </c>
      <c r="D15">
        <f t="shared" si="1"/>
        <v>80.599999999999994</v>
      </c>
      <c r="E15">
        <f t="shared" si="2"/>
        <v>-1.8000000000000114</v>
      </c>
      <c r="F15">
        <v>1656</v>
      </c>
      <c r="G15">
        <f>408+204</f>
        <v>612</v>
      </c>
      <c r="H15">
        <f t="shared" si="0"/>
        <v>1044</v>
      </c>
      <c r="I15" s="5">
        <f t="shared" si="3"/>
        <v>1628.5140946010511</v>
      </c>
      <c r="J15" s="5">
        <f t="shared" si="4"/>
        <v>419.86478738652659</v>
      </c>
      <c r="K15" s="5">
        <v>214</v>
      </c>
      <c r="L15">
        <f>59+90+71+117+28+212+63+123</f>
        <v>763</v>
      </c>
      <c r="M15">
        <f t="shared" si="5"/>
        <v>1375</v>
      </c>
    </row>
    <row r="16" spans="1:13" x14ac:dyDescent="0.65">
      <c r="A16" s="1">
        <v>42499</v>
      </c>
      <c r="B16">
        <v>80.599999999999994</v>
      </c>
      <c r="D16">
        <f t="shared" si="1"/>
        <v>80.599999999999994</v>
      </c>
      <c r="E16">
        <f t="shared" si="2"/>
        <v>-1.8000000000000114</v>
      </c>
      <c r="F16">
        <v>3511</v>
      </c>
      <c r="G16">
        <f>36+351+510+360</f>
        <v>1257</v>
      </c>
      <c r="H16">
        <f t="shared" si="0"/>
        <v>2254</v>
      </c>
      <c r="I16" s="5">
        <f t="shared" si="3"/>
        <v>1628.5140946010511</v>
      </c>
      <c r="J16" s="5">
        <f t="shared" si="4"/>
        <v>419.86478738652659</v>
      </c>
      <c r="K16" s="5">
        <v>331</v>
      </c>
      <c r="L16">
        <f>149+254+272+144+115+201</f>
        <v>1135</v>
      </c>
      <c r="M16">
        <f t="shared" si="5"/>
        <v>2392</v>
      </c>
    </row>
    <row r="17" spans="1:13" x14ac:dyDescent="0.65">
      <c r="A17" s="1">
        <v>42500</v>
      </c>
      <c r="B17">
        <v>80.599999999999994</v>
      </c>
      <c r="D17">
        <f t="shared" si="1"/>
        <v>80.599999999999994</v>
      </c>
      <c r="E17">
        <f t="shared" si="2"/>
        <v>-1.8000000000000114</v>
      </c>
      <c r="F17">
        <v>2093</v>
      </c>
      <c r="G17">
        <v>0</v>
      </c>
      <c r="H17">
        <f t="shared" si="0"/>
        <v>2093</v>
      </c>
      <c r="I17" s="5">
        <f t="shared" si="3"/>
        <v>1628.5140946010511</v>
      </c>
      <c r="J17" s="5">
        <f t="shared" si="4"/>
        <v>419.86478738652659</v>
      </c>
      <c r="K17" s="5">
        <v>180</v>
      </c>
      <c r="L17">
        <v>0</v>
      </c>
      <c r="M17">
        <f t="shared" si="5"/>
        <v>0</v>
      </c>
    </row>
    <row r="18" spans="1:13" x14ac:dyDescent="0.65">
      <c r="A18" s="1">
        <v>42501</v>
      </c>
      <c r="B18">
        <v>80.599999999999994</v>
      </c>
      <c r="C18">
        <v>79.5</v>
      </c>
      <c r="D18">
        <f t="shared" si="1"/>
        <v>80.05</v>
      </c>
      <c r="E18">
        <f t="shared" si="2"/>
        <v>-1.8000000000000114</v>
      </c>
      <c r="F18">
        <v>1494</v>
      </c>
      <c r="G18">
        <f>80+204</f>
        <v>284</v>
      </c>
      <c r="H18">
        <f t="shared" si="0"/>
        <v>1210</v>
      </c>
      <c r="I18" s="5">
        <f t="shared" si="3"/>
        <v>1628.5140946010511</v>
      </c>
      <c r="J18" s="5">
        <f t="shared" si="4"/>
        <v>419.86478738652659</v>
      </c>
      <c r="K18" s="5">
        <v>277</v>
      </c>
      <c r="L18">
        <f>54+154+14+222+51+99</f>
        <v>594</v>
      </c>
      <c r="M18">
        <f t="shared" si="5"/>
        <v>878</v>
      </c>
    </row>
    <row r="19" spans="1:13" x14ac:dyDescent="0.65">
      <c r="A19" s="1">
        <v>42502</v>
      </c>
      <c r="B19">
        <v>79.8</v>
      </c>
      <c r="C19">
        <v>79.2</v>
      </c>
      <c r="D19">
        <f t="shared" si="1"/>
        <v>79.5</v>
      </c>
      <c r="E19">
        <f t="shared" si="2"/>
        <v>-2.6000000000000085</v>
      </c>
      <c r="F19">
        <v>1996</v>
      </c>
      <c r="G19">
        <f>102+240</f>
        <v>342</v>
      </c>
      <c r="H19">
        <f t="shared" si="0"/>
        <v>1654</v>
      </c>
      <c r="I19" s="5">
        <f t="shared" si="3"/>
        <v>1619.3215480172003</v>
      </c>
      <c r="J19" s="5">
        <f t="shared" si="4"/>
        <v>421.09046026437341</v>
      </c>
      <c r="K19" s="5">
        <v>639</v>
      </c>
      <c r="L19">
        <f>35+504</f>
        <v>539</v>
      </c>
      <c r="M19">
        <f t="shared" si="5"/>
        <v>881</v>
      </c>
    </row>
    <row r="20" spans="1:13" x14ac:dyDescent="0.65">
      <c r="A20" s="1">
        <v>42503</v>
      </c>
      <c r="B20">
        <v>79.8</v>
      </c>
      <c r="D20">
        <f t="shared" si="1"/>
        <v>79.8</v>
      </c>
      <c r="E20">
        <f t="shared" si="2"/>
        <v>-2.6000000000000085</v>
      </c>
      <c r="F20">
        <v>2301</v>
      </c>
      <c r="G20">
        <f>102+386+240</f>
        <v>728</v>
      </c>
      <c r="H20">
        <f t="shared" si="0"/>
        <v>1573</v>
      </c>
      <c r="I20" s="5">
        <f t="shared" si="3"/>
        <v>1619.3215480172003</v>
      </c>
      <c r="J20" s="5">
        <f t="shared" si="4"/>
        <v>421.09046026437341</v>
      </c>
      <c r="K20" s="5">
        <v>486</v>
      </c>
      <c r="L20">
        <f>415-102+60+112+119+251+67+119+9</f>
        <v>1050</v>
      </c>
      <c r="M20">
        <f t="shared" si="5"/>
        <v>1778</v>
      </c>
    </row>
    <row r="21" spans="1:13" x14ac:dyDescent="0.65">
      <c r="A21" s="1">
        <v>42504</v>
      </c>
      <c r="B21">
        <v>79.8</v>
      </c>
      <c r="D21">
        <f t="shared" si="1"/>
        <v>79.8</v>
      </c>
      <c r="E21">
        <f t="shared" si="2"/>
        <v>-2.6000000000000085</v>
      </c>
      <c r="F21">
        <v>3487</v>
      </c>
      <c r="G21">
        <f>408+442</f>
        <v>850</v>
      </c>
      <c r="H21">
        <f t="shared" si="0"/>
        <v>2637</v>
      </c>
      <c r="I21" s="5">
        <f t="shared" si="3"/>
        <v>1619.3215480172003</v>
      </c>
      <c r="J21" s="5">
        <f t="shared" si="4"/>
        <v>421.09046026437341</v>
      </c>
      <c r="K21" s="5">
        <v>835</v>
      </c>
      <c r="L21">
        <f>394+238+174+42+237+65+792+125</f>
        <v>2067</v>
      </c>
      <c r="M21">
        <f t="shared" si="5"/>
        <v>2917</v>
      </c>
    </row>
    <row r="22" spans="1:13" x14ac:dyDescent="0.65">
      <c r="A22" s="1">
        <v>42505</v>
      </c>
      <c r="B22">
        <v>79.8</v>
      </c>
      <c r="C22">
        <v>79</v>
      </c>
      <c r="D22">
        <f t="shared" si="1"/>
        <v>79.400000000000006</v>
      </c>
      <c r="E22">
        <f t="shared" si="2"/>
        <v>-2.6000000000000085</v>
      </c>
      <c r="F22">
        <v>1928</v>
      </c>
      <c r="G22">
        <v>306</v>
      </c>
      <c r="H22">
        <f t="shared" si="0"/>
        <v>1622</v>
      </c>
      <c r="I22" s="5">
        <f t="shared" si="3"/>
        <v>1619.3215480172003</v>
      </c>
      <c r="J22" s="5">
        <f t="shared" si="4"/>
        <v>421.09046026437341</v>
      </c>
      <c r="K22" s="5">
        <v>289</v>
      </c>
      <c r="L22">
        <f>42+75+191+672+230</f>
        <v>1210</v>
      </c>
      <c r="M22">
        <f t="shared" si="5"/>
        <v>1516</v>
      </c>
    </row>
    <row r="23" spans="1:13" x14ac:dyDescent="0.65">
      <c r="A23" s="1">
        <v>42506</v>
      </c>
      <c r="B23">
        <v>79.3</v>
      </c>
      <c r="D23">
        <f t="shared" si="1"/>
        <v>79.3</v>
      </c>
      <c r="E23">
        <f t="shared" si="2"/>
        <v>-3.1000000000000085</v>
      </c>
      <c r="F23">
        <v>2984</v>
      </c>
      <c r="G23">
        <f>102+300</f>
        <v>402</v>
      </c>
      <c r="H23">
        <f t="shared" si="0"/>
        <v>2582</v>
      </c>
      <c r="I23" s="5">
        <f t="shared" si="3"/>
        <v>1613.5762064022933</v>
      </c>
      <c r="J23" s="5">
        <f t="shared" si="4"/>
        <v>421.85650581302752</v>
      </c>
      <c r="K23" s="5">
        <v>626</v>
      </c>
      <c r="L23">
        <f>21+87+104+129+85</f>
        <v>426</v>
      </c>
      <c r="M23">
        <f t="shared" si="5"/>
        <v>828</v>
      </c>
    </row>
    <row r="24" spans="1:13" x14ac:dyDescent="0.65">
      <c r="A24" s="1">
        <v>42507</v>
      </c>
      <c r="B24">
        <v>79.3</v>
      </c>
      <c r="D24">
        <f t="shared" si="1"/>
        <v>79.3</v>
      </c>
      <c r="E24">
        <f t="shared" si="2"/>
        <v>-3.1000000000000085</v>
      </c>
      <c r="F24">
        <v>3732</v>
      </c>
      <c r="G24">
        <f>102+772+160+160</f>
        <v>1194</v>
      </c>
      <c r="H24">
        <f t="shared" si="0"/>
        <v>2538</v>
      </c>
      <c r="I24" s="5">
        <f t="shared" si="3"/>
        <v>1613.5762064022933</v>
      </c>
      <c r="J24" s="5">
        <f t="shared" si="4"/>
        <v>421.85650581302752</v>
      </c>
      <c r="K24" s="5">
        <v>623</v>
      </c>
      <c r="L24" s="8">
        <f>179-102+16+251+419+28+22+238+44+119+685-160+33+91+41</f>
        <v>1904</v>
      </c>
      <c r="M24">
        <f t="shared" si="5"/>
        <v>3098</v>
      </c>
    </row>
    <row r="25" spans="1:13" x14ac:dyDescent="0.65">
      <c r="A25" s="1">
        <v>42508</v>
      </c>
      <c r="B25">
        <v>80.5</v>
      </c>
      <c r="C25">
        <v>79</v>
      </c>
      <c r="D25">
        <f t="shared" si="1"/>
        <v>79.75</v>
      </c>
      <c r="E25">
        <f t="shared" si="2"/>
        <v>-1.9000000000000057</v>
      </c>
      <c r="F25">
        <v>980</v>
      </c>
      <c r="G25">
        <v>306</v>
      </c>
      <c r="H25">
        <f t="shared" si="0"/>
        <v>674</v>
      </c>
      <c r="I25" s="5">
        <f t="shared" si="3"/>
        <v>1627.3650262780698</v>
      </c>
      <c r="J25" s="5">
        <f t="shared" si="4"/>
        <v>420.01799649625741</v>
      </c>
      <c r="K25" s="5">
        <v>814</v>
      </c>
      <c r="L25">
        <f>597-306+122+37+72</f>
        <v>522</v>
      </c>
      <c r="M25">
        <f t="shared" si="5"/>
        <v>828</v>
      </c>
    </row>
    <row r="26" spans="1:13" x14ac:dyDescent="0.65">
      <c r="A26" s="1">
        <v>42509</v>
      </c>
      <c r="B26">
        <v>79.3</v>
      </c>
      <c r="D26">
        <f t="shared" si="1"/>
        <v>79.3</v>
      </c>
      <c r="E26">
        <f t="shared" si="2"/>
        <v>-3.1000000000000085</v>
      </c>
      <c r="F26">
        <v>1601</v>
      </c>
      <c r="G26">
        <f>120+306</f>
        <v>426</v>
      </c>
      <c r="H26">
        <f t="shared" si="0"/>
        <v>1175</v>
      </c>
      <c r="I26" s="5">
        <f t="shared" si="3"/>
        <v>1613.5762064022933</v>
      </c>
      <c r="J26" s="5">
        <f t="shared" si="4"/>
        <v>421.85650581302752</v>
      </c>
      <c r="K26" s="5">
        <v>590</v>
      </c>
      <c r="L26">
        <v>200</v>
      </c>
      <c r="M26">
        <f t="shared" si="5"/>
        <v>626</v>
      </c>
    </row>
    <row r="27" spans="1:13" x14ac:dyDescent="0.65">
      <c r="A27" s="1">
        <v>42510</v>
      </c>
      <c r="B27">
        <v>79.3</v>
      </c>
      <c r="D27">
        <f t="shared" si="1"/>
        <v>79.3</v>
      </c>
      <c r="E27">
        <f t="shared" si="2"/>
        <v>-3.1000000000000085</v>
      </c>
      <c r="F27">
        <v>2047</v>
      </c>
      <c r="G27">
        <f>510+320</f>
        <v>830</v>
      </c>
      <c r="H27">
        <f t="shared" si="0"/>
        <v>1217</v>
      </c>
      <c r="I27" s="5">
        <f t="shared" si="3"/>
        <v>1613.5762064022933</v>
      </c>
      <c r="J27" s="5">
        <f t="shared" si="4"/>
        <v>421.85650581302752</v>
      </c>
      <c r="K27" s="5">
        <v>139</v>
      </c>
      <c r="L27">
        <f>52+120+650</f>
        <v>822</v>
      </c>
      <c r="M27">
        <f t="shared" si="5"/>
        <v>1652</v>
      </c>
    </row>
    <row r="28" spans="1:13" x14ac:dyDescent="0.65">
      <c r="A28" s="1">
        <v>42511</v>
      </c>
      <c r="B28">
        <v>79.3</v>
      </c>
      <c r="C28">
        <v>78.5</v>
      </c>
      <c r="D28">
        <f t="shared" si="1"/>
        <v>78.900000000000006</v>
      </c>
      <c r="E28">
        <f t="shared" si="2"/>
        <v>-3.1000000000000085</v>
      </c>
      <c r="F28">
        <v>1565</v>
      </c>
      <c r="G28">
        <f>204+204</f>
        <v>408</v>
      </c>
      <c r="H28">
        <f t="shared" si="0"/>
        <v>1157</v>
      </c>
      <c r="I28" s="5">
        <f t="shared" si="3"/>
        <v>1613.5762064022933</v>
      </c>
      <c r="J28" s="5">
        <f t="shared" si="4"/>
        <v>421.85650581302752</v>
      </c>
      <c r="K28" s="5">
        <v>313</v>
      </c>
      <c r="L28">
        <f>14+49+284+390-240+165</f>
        <v>662</v>
      </c>
      <c r="M28">
        <f t="shared" si="5"/>
        <v>1070</v>
      </c>
    </row>
    <row r="29" spans="1:13" x14ac:dyDescent="0.65">
      <c r="A29" s="1">
        <v>42512</v>
      </c>
      <c r="B29">
        <v>79</v>
      </c>
      <c r="D29">
        <f t="shared" si="1"/>
        <v>79</v>
      </c>
      <c r="E29">
        <f t="shared" si="2"/>
        <v>-3.4000000000000057</v>
      </c>
      <c r="F29">
        <v>1851</v>
      </c>
      <c r="G29">
        <f>120+306+53+204</f>
        <v>683</v>
      </c>
      <c r="H29">
        <f t="shared" si="0"/>
        <v>1168</v>
      </c>
      <c r="I29" s="5">
        <f t="shared" si="3"/>
        <v>1610.1290014333492</v>
      </c>
      <c r="J29" s="5">
        <f t="shared" si="4"/>
        <v>422.31613314222022</v>
      </c>
      <c r="K29" s="5">
        <v>508</v>
      </c>
      <c r="L29">
        <f>817-306+87+50+44+80+42</f>
        <v>814</v>
      </c>
      <c r="M29">
        <f t="shared" si="5"/>
        <v>1497</v>
      </c>
    </row>
    <row r="30" spans="1:13" x14ac:dyDescent="0.65">
      <c r="A30" s="1">
        <v>42513</v>
      </c>
      <c r="B30">
        <v>78.8</v>
      </c>
      <c r="D30">
        <f t="shared" si="1"/>
        <v>78.8</v>
      </c>
      <c r="E30">
        <f t="shared" si="2"/>
        <v>-3.6000000000000085</v>
      </c>
      <c r="F30">
        <v>2960</v>
      </c>
      <c r="G30">
        <f>306+579+380</f>
        <v>1265</v>
      </c>
      <c r="H30">
        <f t="shared" si="0"/>
        <v>1695</v>
      </c>
      <c r="I30" s="5">
        <f t="shared" si="3"/>
        <v>1607.8308647873866</v>
      </c>
      <c r="J30" s="5">
        <f t="shared" si="4"/>
        <v>422.62255136168187</v>
      </c>
      <c r="K30" s="5">
        <v>506</v>
      </c>
      <c r="L30">
        <f>873-306+368+50+97+20</f>
        <v>1102</v>
      </c>
      <c r="M30">
        <f t="shared" si="5"/>
        <v>2367</v>
      </c>
    </row>
    <row r="31" spans="1:13" x14ac:dyDescent="0.65">
      <c r="A31" s="1">
        <v>42514</v>
      </c>
      <c r="B31">
        <v>79.2</v>
      </c>
      <c r="D31">
        <f t="shared" si="1"/>
        <v>79.2</v>
      </c>
      <c r="E31">
        <f t="shared" si="2"/>
        <v>-3.2000000000000028</v>
      </c>
      <c r="F31">
        <v>1345</v>
      </c>
      <c r="G31">
        <v>204</v>
      </c>
      <c r="H31">
        <f t="shared" si="0"/>
        <v>1141</v>
      </c>
      <c r="I31" s="5">
        <f t="shared" si="3"/>
        <v>1612.427138079312</v>
      </c>
      <c r="J31" s="5">
        <f t="shared" si="4"/>
        <v>422.00971492275835</v>
      </c>
      <c r="K31" s="5">
        <v>298</v>
      </c>
      <c r="L31">
        <f>51+40+274+46+80+211</f>
        <v>702</v>
      </c>
      <c r="M31">
        <f t="shared" si="5"/>
        <v>906</v>
      </c>
    </row>
    <row r="32" spans="1:13" x14ac:dyDescent="0.65">
      <c r="A32" s="13">
        <v>42515</v>
      </c>
      <c r="B32" s="14">
        <v>78.400000000000006</v>
      </c>
      <c r="C32" s="14">
        <v>78</v>
      </c>
      <c r="D32" s="14">
        <f t="shared" si="1"/>
        <v>78.2</v>
      </c>
      <c r="E32" s="14">
        <f t="shared" si="2"/>
        <v>-4</v>
      </c>
      <c r="F32">
        <v>2067</v>
      </c>
      <c r="G32">
        <v>408</v>
      </c>
      <c r="H32">
        <f t="shared" si="0"/>
        <v>1659</v>
      </c>
      <c r="I32" s="5">
        <f t="shared" si="3"/>
        <v>1603.2345914954612</v>
      </c>
      <c r="J32" s="5">
        <f t="shared" si="4"/>
        <v>423.23538780060517</v>
      </c>
      <c r="K32" s="5">
        <v>327</v>
      </c>
      <c r="L32">
        <f>593-408+183+187</f>
        <v>555</v>
      </c>
      <c r="M32">
        <f t="shared" si="5"/>
        <v>963</v>
      </c>
    </row>
    <row r="33" spans="1:13" x14ac:dyDescent="0.65">
      <c r="A33" s="1">
        <v>42516</v>
      </c>
      <c r="B33">
        <v>78.900000000000006</v>
      </c>
      <c r="D33">
        <f t="shared" si="1"/>
        <v>78.900000000000006</v>
      </c>
      <c r="E33">
        <f t="shared" si="2"/>
        <v>-3.5</v>
      </c>
      <c r="F33">
        <v>1745</v>
      </c>
      <c r="G33">
        <v>306</v>
      </c>
      <c r="H33">
        <f t="shared" si="0"/>
        <v>1439</v>
      </c>
      <c r="I33" s="5">
        <f t="shared" si="3"/>
        <v>1608.9799331103679</v>
      </c>
      <c r="J33" s="5">
        <f t="shared" si="4"/>
        <v>422.46934225195105</v>
      </c>
      <c r="K33" s="5">
        <v>349</v>
      </c>
      <c r="L33">
        <f>92+336+165</f>
        <v>593</v>
      </c>
      <c r="M33">
        <f t="shared" si="5"/>
        <v>899</v>
      </c>
    </row>
    <row r="34" spans="1:13" x14ac:dyDescent="0.65">
      <c r="A34" s="11">
        <v>42517</v>
      </c>
      <c r="B34" s="12">
        <v>78.2</v>
      </c>
      <c r="C34" s="12"/>
      <c r="D34" s="12">
        <f t="shared" si="1"/>
        <v>78.2</v>
      </c>
      <c r="E34" s="12">
        <f t="shared" si="2"/>
        <v>-4.2000000000000028</v>
      </c>
      <c r="F34">
        <v>2141</v>
      </c>
      <c r="G34">
        <f>306*2</f>
        <v>612</v>
      </c>
      <c r="H34">
        <f t="shared" si="0"/>
        <v>1529</v>
      </c>
      <c r="I34" s="5">
        <f t="shared" si="3"/>
        <v>1600.9364548494984</v>
      </c>
      <c r="J34" s="5">
        <f t="shared" si="4"/>
        <v>423.54180602006682</v>
      </c>
      <c r="K34" s="5">
        <v>369</v>
      </c>
      <c r="L34">
        <f>106+650+595-306</f>
        <v>1045</v>
      </c>
      <c r="M34">
        <f t="shared" si="5"/>
        <v>1657</v>
      </c>
    </row>
    <row r="35" spans="1:13" x14ac:dyDescent="0.65">
      <c r="A35" s="1">
        <v>42518</v>
      </c>
      <c r="B35">
        <v>78.7</v>
      </c>
      <c r="C35">
        <v>78.2</v>
      </c>
      <c r="D35">
        <f t="shared" si="1"/>
        <v>78.45</v>
      </c>
      <c r="E35">
        <f t="shared" si="2"/>
        <v>-3.7000000000000028</v>
      </c>
      <c r="F35">
        <v>2098</v>
      </c>
      <c r="G35">
        <v>306</v>
      </c>
      <c r="H35">
        <f t="shared" si="0"/>
        <v>1792</v>
      </c>
      <c r="I35" s="5">
        <f t="shared" si="3"/>
        <v>1606.6817964644054</v>
      </c>
      <c r="J35" s="5">
        <f t="shared" si="4"/>
        <v>422.77576047141247</v>
      </c>
      <c r="K35" s="5">
        <v>510</v>
      </c>
      <c r="L35">
        <f>400-306+186+163+34+161+47+71</f>
        <v>756</v>
      </c>
      <c r="M35">
        <f t="shared" si="5"/>
        <v>1062</v>
      </c>
    </row>
    <row r="36" spans="1:13" x14ac:dyDescent="0.65">
      <c r="A36" s="1">
        <v>42519</v>
      </c>
      <c r="B36">
        <v>78.7</v>
      </c>
      <c r="D36">
        <f t="shared" si="1"/>
        <v>78.7</v>
      </c>
      <c r="E36">
        <f t="shared" si="2"/>
        <v>-3.7000000000000028</v>
      </c>
      <c r="F36">
        <v>1468</v>
      </c>
      <c r="G36">
        <f>102+291</f>
        <v>393</v>
      </c>
      <c r="H36">
        <f t="shared" si="0"/>
        <v>1075</v>
      </c>
      <c r="I36" s="5">
        <f t="shared" si="3"/>
        <v>1606.6817964644054</v>
      </c>
      <c r="J36" s="5">
        <f t="shared" si="4"/>
        <v>422.77576047141247</v>
      </c>
      <c r="K36" s="5">
        <v>868</v>
      </c>
      <c r="L36">
        <f>267+41</f>
        <v>308</v>
      </c>
      <c r="M36">
        <f t="shared" si="5"/>
        <v>701</v>
      </c>
    </row>
    <row r="37" spans="1:13" x14ac:dyDescent="0.65">
      <c r="A37" s="1">
        <v>42520</v>
      </c>
      <c r="B37">
        <v>78.400000000000006</v>
      </c>
      <c r="D37">
        <f t="shared" si="1"/>
        <v>78.400000000000006</v>
      </c>
      <c r="E37">
        <f t="shared" si="2"/>
        <v>-4</v>
      </c>
      <c r="F37">
        <v>1851</v>
      </c>
      <c r="G37">
        <v>401</v>
      </c>
      <c r="H37">
        <f t="shared" si="0"/>
        <v>1450</v>
      </c>
      <c r="I37" s="5">
        <f t="shared" si="3"/>
        <v>1603.2345914954612</v>
      </c>
      <c r="J37" s="5">
        <f t="shared" si="4"/>
        <v>423.23538780060517</v>
      </c>
      <c r="K37" s="5">
        <v>165</v>
      </c>
      <c r="L37">
        <f>34+264+41+248</f>
        <v>587</v>
      </c>
      <c r="M37">
        <f t="shared" si="5"/>
        <v>988</v>
      </c>
    </row>
    <row r="38" spans="1:13" x14ac:dyDescent="0.65">
      <c r="A38" s="1">
        <v>42521</v>
      </c>
      <c r="B38">
        <v>78.400000000000006</v>
      </c>
      <c r="D38">
        <f t="shared" si="1"/>
        <v>78.400000000000006</v>
      </c>
      <c r="E38">
        <f t="shared" si="2"/>
        <v>-4</v>
      </c>
      <c r="F38">
        <v>2724</v>
      </c>
      <c r="G38">
        <f>408+204</f>
        <v>612</v>
      </c>
      <c r="H38">
        <f t="shared" si="0"/>
        <v>2112</v>
      </c>
      <c r="I38" s="5">
        <f t="shared" si="3"/>
        <v>1603.2345914954612</v>
      </c>
      <c r="J38" s="5">
        <f t="shared" si="4"/>
        <v>423.23538780060517</v>
      </c>
      <c r="K38" s="5">
        <v>427</v>
      </c>
      <c r="L38">
        <f>51+720+67+97</f>
        <v>935</v>
      </c>
      <c r="M38">
        <f t="shared" si="5"/>
        <v>1547</v>
      </c>
    </row>
    <row r="39" spans="1:13" x14ac:dyDescent="0.65">
      <c r="A39" s="1">
        <v>42522</v>
      </c>
      <c r="B39">
        <v>79.2</v>
      </c>
      <c r="C39">
        <v>77.7</v>
      </c>
      <c r="D39">
        <f t="shared" si="1"/>
        <v>78.45</v>
      </c>
      <c r="E39">
        <f t="shared" si="2"/>
        <v>-3.2000000000000028</v>
      </c>
      <c r="F39">
        <v>2212</v>
      </c>
      <c r="G39">
        <f>612+102</f>
        <v>714</v>
      </c>
      <c r="H39">
        <f t="shared" si="0"/>
        <v>1498</v>
      </c>
      <c r="I39" s="5">
        <f t="shared" si="3"/>
        <v>1612.427138079312</v>
      </c>
      <c r="J39" s="5">
        <f t="shared" si="4"/>
        <v>422.00971492275835</v>
      </c>
      <c r="K39" s="5">
        <v>869</v>
      </c>
      <c r="L39">
        <f>860-612+211+122+34</f>
        <v>615</v>
      </c>
      <c r="M39">
        <f t="shared" si="5"/>
        <v>1329</v>
      </c>
    </row>
    <row r="40" spans="1:13" x14ac:dyDescent="0.65">
      <c r="A40" s="1">
        <v>42523</v>
      </c>
      <c r="B40">
        <v>78.400000000000006</v>
      </c>
      <c r="D40">
        <f t="shared" si="1"/>
        <v>78.400000000000006</v>
      </c>
      <c r="E40">
        <f t="shared" si="2"/>
        <v>-4</v>
      </c>
      <c r="F40">
        <v>2396</v>
      </c>
      <c r="G40">
        <f>306+386+720</f>
        <v>1412</v>
      </c>
      <c r="H40">
        <f t="shared" si="0"/>
        <v>984</v>
      </c>
      <c r="I40" s="5">
        <f t="shared" si="3"/>
        <v>1603.2345914954612</v>
      </c>
      <c r="J40" s="5">
        <f t="shared" si="4"/>
        <v>423.23538780060517</v>
      </c>
      <c r="K40" s="5">
        <v>538</v>
      </c>
      <c r="L40">
        <f>519+251+28+621+404-G40</f>
        <v>411</v>
      </c>
      <c r="M40">
        <f t="shared" si="5"/>
        <v>1823</v>
      </c>
    </row>
    <row r="41" spans="1:13" x14ac:dyDescent="0.65">
      <c r="A41" s="1">
        <v>42524</v>
      </c>
      <c r="B41">
        <v>78.3</v>
      </c>
      <c r="D41">
        <f t="shared" si="1"/>
        <v>78.3</v>
      </c>
      <c r="E41">
        <f t="shared" si="2"/>
        <v>-4.1000000000000085</v>
      </c>
      <c r="F41">
        <v>3131</v>
      </c>
      <c r="G41">
        <f>306+102+182+720</f>
        <v>1310</v>
      </c>
      <c r="H41">
        <f t="shared" si="0"/>
        <v>1821</v>
      </c>
      <c r="I41" s="5">
        <f t="shared" si="3"/>
        <v>1602.0855231724795</v>
      </c>
      <c r="J41" s="5">
        <f t="shared" si="4"/>
        <v>423.38859691033622</v>
      </c>
      <c r="K41" s="5">
        <v>577</v>
      </c>
      <c r="L41">
        <f>522+22+63+67+97</f>
        <v>771</v>
      </c>
      <c r="M41">
        <f t="shared" si="5"/>
        <v>2081</v>
      </c>
    </row>
    <row r="42" spans="1:13" x14ac:dyDescent="0.65">
      <c r="A42" s="1">
        <v>42525</v>
      </c>
      <c r="B42">
        <v>78.400000000000006</v>
      </c>
      <c r="C42">
        <v>77.2</v>
      </c>
      <c r="D42">
        <f t="shared" si="1"/>
        <v>77.800000000000011</v>
      </c>
      <c r="E42">
        <f t="shared" si="2"/>
        <v>-4</v>
      </c>
      <c r="F42">
        <v>2436</v>
      </c>
      <c r="G42">
        <v>612</v>
      </c>
      <c r="H42">
        <f t="shared" si="0"/>
        <v>1824</v>
      </c>
      <c r="I42" s="5">
        <f t="shared" ref="I42" si="6">((0.1238+(0.0481*B42+(0.0234*175)-(0.0138*53)-0.5473*1))*1000/4.186)</f>
        <v>1603.2345914954612</v>
      </c>
      <c r="J42" s="5">
        <f t="shared" si="4"/>
        <v>423.23538780060517</v>
      </c>
      <c r="K42" s="5">
        <v>713</v>
      </c>
      <c r="L42">
        <f>105+65+75+124+33+50+100+228+58</f>
        <v>838</v>
      </c>
      <c r="M42">
        <f t="shared" si="5"/>
        <v>1450</v>
      </c>
    </row>
    <row r="43" spans="1:13" x14ac:dyDescent="0.65">
      <c r="A43" s="1">
        <v>42526</v>
      </c>
      <c r="B43">
        <v>78.8</v>
      </c>
      <c r="D43">
        <f t="shared" si="1"/>
        <v>78.8</v>
      </c>
      <c r="E43">
        <f t="shared" si="2"/>
        <v>-3.6000000000000085</v>
      </c>
      <c r="F43">
        <v>2456</v>
      </c>
      <c r="G43">
        <f>306+204</f>
        <v>510</v>
      </c>
      <c r="H43">
        <f t="shared" ref="H43" si="7">F43-G43</f>
        <v>1946</v>
      </c>
      <c r="I43" s="5">
        <f t="shared" ref="I43" si="8">((0.1238+(0.0481*B43+(0.0234*175)-(0.0138*53)-0.5473*1))*1000/4.186)</f>
        <v>1607.8308647873866</v>
      </c>
      <c r="J43" s="5">
        <f t="shared" si="4"/>
        <v>422.62255136168187</v>
      </c>
      <c r="K43" s="5">
        <v>464</v>
      </c>
      <c r="L43">
        <f>83+4+369+562</f>
        <v>1018</v>
      </c>
      <c r="M43">
        <f t="shared" si="5"/>
        <v>1528</v>
      </c>
    </row>
    <row r="44" spans="1:13" x14ac:dyDescent="0.65">
      <c r="A44" s="1">
        <v>42527</v>
      </c>
      <c r="B44">
        <v>78.8</v>
      </c>
      <c r="D44">
        <f t="shared" si="1"/>
        <v>78.8</v>
      </c>
      <c r="E44">
        <f t="shared" si="2"/>
        <v>-3.6000000000000085</v>
      </c>
      <c r="F44">
        <v>3089</v>
      </c>
      <c r="G44">
        <f>204+204+370</f>
        <v>778</v>
      </c>
      <c r="H44">
        <f t="shared" ref="H44:H47" si="9">F44-G44</f>
        <v>2311</v>
      </c>
      <c r="I44" s="5">
        <f t="shared" ref="I44:I45" si="10">((0.1238+(0.0481*B44+(0.0234*175)-(0.0138*53)-0.5473*1))*1000/4.186)</f>
        <v>1607.8308647873866</v>
      </c>
      <c r="J44" s="5">
        <f t="shared" si="4"/>
        <v>422.62255136168187</v>
      </c>
      <c r="K44" s="5">
        <v>579</v>
      </c>
      <c r="L44">
        <f>F44-G44-701-482</f>
        <v>1128</v>
      </c>
      <c r="M44">
        <f t="shared" si="5"/>
        <v>1906</v>
      </c>
    </row>
    <row r="45" spans="1:13" x14ac:dyDescent="0.65">
      <c r="A45" s="1">
        <v>42528</v>
      </c>
      <c r="B45">
        <v>79.2</v>
      </c>
      <c r="D45">
        <f t="shared" si="1"/>
        <v>79.2</v>
      </c>
      <c r="E45">
        <f t="shared" si="2"/>
        <v>-3.2000000000000028</v>
      </c>
      <c r="F45">
        <v>1870</v>
      </c>
      <c r="G45">
        <v>0</v>
      </c>
      <c r="H45">
        <f t="shared" si="9"/>
        <v>1870</v>
      </c>
      <c r="I45" s="5">
        <f t="shared" si="10"/>
        <v>1612.427138079312</v>
      </c>
      <c r="J45" s="5">
        <f t="shared" si="4"/>
        <v>422.00971492275835</v>
      </c>
      <c r="K45" s="5">
        <v>517</v>
      </c>
      <c r="L45">
        <v>0</v>
      </c>
      <c r="M45">
        <f>IF(L45=0,0,L45+G45)</f>
        <v>0</v>
      </c>
    </row>
    <row r="46" spans="1:13" x14ac:dyDescent="0.65">
      <c r="A46" s="1">
        <v>42529</v>
      </c>
      <c r="B46">
        <v>78.5</v>
      </c>
      <c r="C46">
        <v>77.5</v>
      </c>
      <c r="D46">
        <f t="shared" si="1"/>
        <v>78</v>
      </c>
      <c r="E46">
        <f t="shared" si="2"/>
        <v>-3.9000000000000057</v>
      </c>
      <c r="F46">
        <v>2009</v>
      </c>
      <c r="G46">
        <v>306</v>
      </c>
      <c r="H46">
        <f t="shared" si="9"/>
        <v>1703</v>
      </c>
      <c r="I46" s="5">
        <f t="shared" ref="I46" si="11">((0.1238+(0.0481*B46+(0.0234*175)-(0.0138*53)-0.5473*1))*1000/4.186)</f>
        <v>1604.3836598184423</v>
      </c>
      <c r="J46" s="5">
        <f t="shared" si="4"/>
        <v>423.08217869087457</v>
      </c>
      <c r="K46" s="5">
        <v>452</v>
      </c>
      <c r="L46">
        <f>752+97-G46</f>
        <v>543</v>
      </c>
      <c r="M46">
        <f t="shared" ref="M46" si="12">L46+G46</f>
        <v>849</v>
      </c>
    </row>
    <row r="47" spans="1:13" x14ac:dyDescent="0.65">
      <c r="A47" s="1">
        <v>42530</v>
      </c>
      <c r="B47">
        <v>78.5</v>
      </c>
      <c r="D47">
        <f t="shared" si="1"/>
        <v>78.5</v>
      </c>
      <c r="E47">
        <f t="shared" si="2"/>
        <v>-3.9000000000000057</v>
      </c>
      <c r="F47">
        <v>2041</v>
      </c>
      <c r="G47">
        <v>306</v>
      </c>
      <c r="H47">
        <f t="shared" si="9"/>
        <v>1735</v>
      </c>
      <c r="I47" s="5">
        <f t="shared" ref="I47" si="13">((0.1238+(0.0481*B47+(0.0234*175)-(0.0138*53)-0.5473*1))*1000/4.186)</f>
        <v>1604.3836598184423</v>
      </c>
      <c r="J47" s="5">
        <f t="shared" si="4"/>
        <v>423.08217869087457</v>
      </c>
      <c r="K47" s="5">
        <v>436</v>
      </c>
      <c r="L47">
        <v>0</v>
      </c>
      <c r="M47">
        <f>IF(L47=0,0,L47+G47)</f>
        <v>0</v>
      </c>
    </row>
    <row r="48" spans="1:13" x14ac:dyDescent="0.65">
      <c r="A48" s="1">
        <v>42531</v>
      </c>
      <c r="B48">
        <v>77.900000000000006</v>
      </c>
      <c r="D48">
        <f t="shared" si="1"/>
        <v>77.900000000000006</v>
      </c>
      <c r="E48">
        <f t="shared" si="2"/>
        <v>-4.5</v>
      </c>
      <c r="F48">
        <v>2374</v>
      </c>
      <c r="G48">
        <f>73+714</f>
        <v>787</v>
      </c>
      <c r="H48">
        <f t="shared" ref="H48:H55" si="14">F48-G48</f>
        <v>1587</v>
      </c>
      <c r="I48" s="5">
        <f t="shared" ref="I48:I55" si="15">((0.1238+(0.0481*B48+(0.0234*175)-(0.0138*53)-0.5473*1))*1000/4.186)</f>
        <v>1597.4892498805541</v>
      </c>
      <c r="J48" s="5">
        <f t="shared" si="4"/>
        <v>424.00143334925951</v>
      </c>
      <c r="K48" s="5">
        <v>587</v>
      </c>
      <c r="L48">
        <f>1083+821-G48</f>
        <v>1117</v>
      </c>
      <c r="M48">
        <f>IF(L48=0,0,L48+G48)</f>
        <v>1904</v>
      </c>
    </row>
    <row r="49" spans="1:13" x14ac:dyDescent="0.65">
      <c r="A49" s="1">
        <v>42532</v>
      </c>
      <c r="B49">
        <v>78.400000000000006</v>
      </c>
      <c r="D49">
        <f t="shared" si="1"/>
        <v>78.400000000000006</v>
      </c>
      <c r="E49">
        <f t="shared" si="2"/>
        <v>-4</v>
      </c>
      <c r="F49">
        <v>2491</v>
      </c>
      <c r="G49">
        <f>595+151</f>
        <v>746</v>
      </c>
      <c r="H49">
        <f t="shared" si="14"/>
        <v>1745</v>
      </c>
      <c r="I49" s="5">
        <f t="shared" si="15"/>
        <v>1603.2345914954612</v>
      </c>
      <c r="J49" s="5">
        <f t="shared" si="4"/>
        <v>423.23538780060517</v>
      </c>
      <c r="K49" s="5">
        <v>544</v>
      </c>
      <c r="L49">
        <f>1199-G49</f>
        <v>453</v>
      </c>
      <c r="M49">
        <f>IF(L49=0,0,L49+G49)</f>
        <v>1199</v>
      </c>
    </row>
    <row r="50" spans="1:13" x14ac:dyDescent="0.65">
      <c r="A50" s="1">
        <v>42533</v>
      </c>
      <c r="B50">
        <v>78.099999999999994</v>
      </c>
      <c r="C50">
        <v>77.2</v>
      </c>
      <c r="D50">
        <f t="shared" si="1"/>
        <v>77.650000000000006</v>
      </c>
      <c r="E50">
        <f t="shared" si="2"/>
        <v>-4.3000000000000114</v>
      </c>
      <c r="F50">
        <v>2137</v>
      </c>
      <c r="G50">
        <f>146+238</f>
        <v>384</v>
      </c>
      <c r="H50">
        <f t="shared" si="14"/>
        <v>1753</v>
      </c>
      <c r="I50" s="5">
        <f t="shared" si="15"/>
        <v>1599.7873865265167</v>
      </c>
      <c r="J50" s="5">
        <f t="shared" si="4"/>
        <v>423.69501512979787</v>
      </c>
      <c r="K50" s="5">
        <v>384</v>
      </c>
      <c r="L50">
        <f>1162-146</f>
        <v>1016</v>
      </c>
      <c r="M50">
        <v>1162</v>
      </c>
    </row>
    <row r="51" spans="1:13" x14ac:dyDescent="0.65">
      <c r="A51" s="1">
        <v>42534</v>
      </c>
      <c r="B51">
        <v>78.099999999999994</v>
      </c>
      <c r="D51">
        <f t="shared" si="1"/>
        <v>78.099999999999994</v>
      </c>
      <c r="E51">
        <f t="shared" si="2"/>
        <v>-4.3000000000000114</v>
      </c>
      <c r="F51">
        <v>2653</v>
      </c>
      <c r="G51">
        <f>595+73</f>
        <v>668</v>
      </c>
      <c r="H51">
        <f t="shared" si="14"/>
        <v>1985</v>
      </c>
      <c r="I51" s="5">
        <f t="shared" si="15"/>
        <v>1599.7873865265167</v>
      </c>
      <c r="J51" s="5">
        <f t="shared" si="4"/>
        <v>423.69501512979787</v>
      </c>
      <c r="K51" s="5">
        <v>526</v>
      </c>
      <c r="L51">
        <f>1061-G51</f>
        <v>393</v>
      </c>
      <c r="M51">
        <f>IF(L51=0,0,L51+G51)</f>
        <v>1061</v>
      </c>
    </row>
    <row r="52" spans="1:13" x14ac:dyDescent="0.65">
      <c r="A52" s="1">
        <v>42535</v>
      </c>
      <c r="B52">
        <v>78.5</v>
      </c>
      <c r="D52">
        <f t="shared" si="1"/>
        <v>78.5</v>
      </c>
      <c r="E52">
        <f t="shared" si="2"/>
        <v>-3.9000000000000057</v>
      </c>
      <c r="F52">
        <v>2440</v>
      </c>
      <c r="G52">
        <f>119+370</f>
        <v>489</v>
      </c>
      <c r="H52">
        <f t="shared" si="14"/>
        <v>1951</v>
      </c>
      <c r="I52" s="5">
        <f t="shared" si="15"/>
        <v>1604.3836598184423</v>
      </c>
      <c r="J52" s="5">
        <f t="shared" si="4"/>
        <v>423.08217869087457</v>
      </c>
      <c r="K52" s="5">
        <v>651</v>
      </c>
      <c r="L52">
        <f>1143-G52</f>
        <v>654</v>
      </c>
      <c r="M52">
        <f>IF(L52=0,0,L52+G52)</f>
        <v>1143</v>
      </c>
    </row>
    <row r="53" spans="1:13" x14ac:dyDescent="0.65">
      <c r="A53" s="1">
        <v>42536</v>
      </c>
      <c r="B53">
        <v>79</v>
      </c>
      <c r="C53">
        <v>77.5</v>
      </c>
      <c r="D53">
        <f t="shared" si="1"/>
        <v>78.25</v>
      </c>
      <c r="E53">
        <f t="shared" ref="E53:E54" si="16">B53-$B$2</f>
        <v>-3.4000000000000057</v>
      </c>
      <c r="F53">
        <v>1801</v>
      </c>
      <c r="G53">
        <f>254+176+12</f>
        <v>442</v>
      </c>
      <c r="H53">
        <f t="shared" si="14"/>
        <v>1359</v>
      </c>
      <c r="I53" s="5">
        <f t="shared" si="15"/>
        <v>1610.1290014333492</v>
      </c>
      <c r="J53" s="5">
        <f t="shared" si="4"/>
        <v>422.31613314222022</v>
      </c>
      <c r="K53" s="5">
        <v>656</v>
      </c>
      <c r="L53">
        <v>53</v>
      </c>
      <c r="M53">
        <f>IF(L53=0,0,L53+G53)</f>
        <v>495</v>
      </c>
    </row>
    <row r="54" spans="1:13" x14ac:dyDescent="0.65">
      <c r="A54" s="1">
        <v>42537</v>
      </c>
      <c r="B54">
        <v>77.599999999999994</v>
      </c>
      <c r="D54">
        <f t="shared" si="1"/>
        <v>77.599999999999994</v>
      </c>
      <c r="E54">
        <f t="shared" si="16"/>
        <v>-4.8000000000000114</v>
      </c>
      <c r="F54">
        <v>1933</v>
      </c>
      <c r="G54">
        <v>119</v>
      </c>
      <c r="H54">
        <f t="shared" si="14"/>
        <v>1814</v>
      </c>
      <c r="I54" s="5">
        <f t="shared" si="15"/>
        <v>1594.0420449116102</v>
      </c>
      <c r="J54" s="5">
        <f t="shared" si="4"/>
        <v>424.46106067845221</v>
      </c>
      <c r="K54" s="5">
        <v>515</v>
      </c>
      <c r="L54">
        <f>M54-G54</f>
        <v>317</v>
      </c>
      <c r="M54">
        <v>436</v>
      </c>
    </row>
    <row r="55" spans="1:13" x14ac:dyDescent="0.65">
      <c r="A55" s="1">
        <v>42538</v>
      </c>
      <c r="B55">
        <v>77.599999999999994</v>
      </c>
      <c r="D55">
        <f t="shared" si="1"/>
        <v>77.599999999999994</v>
      </c>
      <c r="E55">
        <f t="shared" ref="E55:E64" si="17">B55-$B$2</f>
        <v>-4.8000000000000114</v>
      </c>
      <c r="F55">
        <v>2738</v>
      </c>
      <c r="G55">
        <f>952+370</f>
        <v>1322</v>
      </c>
      <c r="H55">
        <f t="shared" si="14"/>
        <v>1416</v>
      </c>
      <c r="I55" s="5">
        <f t="shared" si="15"/>
        <v>1594.0420449116102</v>
      </c>
      <c r="J55" s="5">
        <f t="shared" si="4"/>
        <v>424.46106067845221</v>
      </c>
      <c r="K55" s="5">
        <v>565</v>
      </c>
      <c r="L55">
        <f>1760-G55</f>
        <v>438</v>
      </c>
      <c r="M55">
        <f>IF(L55=0,0,L55+G55)</f>
        <v>1760</v>
      </c>
    </row>
    <row r="56" spans="1:13" x14ac:dyDescent="0.65">
      <c r="A56" s="1">
        <v>42539</v>
      </c>
      <c r="B56">
        <v>78.099999999999994</v>
      </c>
      <c r="D56">
        <f t="shared" si="1"/>
        <v>78.099999999999994</v>
      </c>
      <c r="E56">
        <f t="shared" si="17"/>
        <v>-4.3000000000000114</v>
      </c>
      <c r="F56">
        <v>1908</v>
      </c>
      <c r="G56">
        <f>238+119</f>
        <v>357</v>
      </c>
      <c r="H56">
        <f t="shared" ref="H56:H62" si="18">F56-G56</f>
        <v>1551</v>
      </c>
      <c r="I56" s="5">
        <f t="shared" ref="I56:I58" si="19">((0.1238+(0.0481*B56+(0.0234*175)-(0.0138*53)-0.5473*1))*1000/4.186)</f>
        <v>1599.7873865265167</v>
      </c>
      <c r="J56" s="5">
        <f t="shared" si="4"/>
        <v>423.69501512979787</v>
      </c>
      <c r="K56" s="5">
        <f>298+202</f>
        <v>500</v>
      </c>
      <c r="L56">
        <f>992-238+43</f>
        <v>797</v>
      </c>
      <c r="M56">
        <f>IF(L56=0,0,L56+G56)</f>
        <v>1154</v>
      </c>
    </row>
    <row r="57" spans="1:13" x14ac:dyDescent="0.65">
      <c r="A57" s="1">
        <v>42540</v>
      </c>
      <c r="B57">
        <v>77.5</v>
      </c>
      <c r="C57">
        <v>76.8</v>
      </c>
      <c r="D57">
        <f t="shared" si="1"/>
        <v>77.150000000000006</v>
      </c>
      <c r="E57">
        <f t="shared" si="17"/>
        <v>-4.9000000000000057</v>
      </c>
      <c r="F57">
        <v>2213</v>
      </c>
      <c r="G57">
        <f>238+73+119</f>
        <v>430</v>
      </c>
      <c r="H57">
        <f t="shared" si="18"/>
        <v>1783</v>
      </c>
      <c r="I57" s="5">
        <f t="shared" si="19"/>
        <v>1592.8929765886287</v>
      </c>
      <c r="J57" s="5">
        <f t="shared" si="4"/>
        <v>424.61426978818304</v>
      </c>
      <c r="K57" s="5">
        <v>1080</v>
      </c>
      <c r="L57">
        <f>798-238-73</f>
        <v>487</v>
      </c>
      <c r="M57">
        <f>798</f>
        <v>798</v>
      </c>
    </row>
    <row r="58" spans="1:13" x14ac:dyDescent="0.65">
      <c r="A58" s="1">
        <v>42541</v>
      </c>
      <c r="B58">
        <v>77</v>
      </c>
      <c r="D58">
        <f t="shared" si="1"/>
        <v>77</v>
      </c>
      <c r="E58">
        <f t="shared" si="17"/>
        <v>-5.4000000000000057</v>
      </c>
      <c r="F58">
        <v>2114</v>
      </c>
      <c r="G58">
        <f>238+127</f>
        <v>365</v>
      </c>
      <c r="H58">
        <f t="shared" si="18"/>
        <v>1749</v>
      </c>
      <c r="I58" s="5">
        <f t="shared" si="19"/>
        <v>1587.1476349737218</v>
      </c>
      <c r="J58" s="5">
        <f t="shared" si="4"/>
        <v>425.38031533683693</v>
      </c>
      <c r="K58" s="5">
        <v>336</v>
      </c>
      <c r="L58">
        <f>756-238</f>
        <v>518</v>
      </c>
      <c r="M58">
        <v>756</v>
      </c>
    </row>
    <row r="59" spans="1:13" x14ac:dyDescent="0.65">
      <c r="A59" s="1">
        <v>42542</v>
      </c>
      <c r="B59">
        <v>77</v>
      </c>
      <c r="D59">
        <f t="shared" si="1"/>
        <v>77</v>
      </c>
      <c r="E59">
        <f t="shared" si="17"/>
        <v>-5.4000000000000057</v>
      </c>
      <c r="F59">
        <v>2229</v>
      </c>
      <c r="G59">
        <f>119+259</f>
        <v>378</v>
      </c>
      <c r="H59">
        <f t="shared" si="18"/>
        <v>1851</v>
      </c>
      <c r="I59" s="5">
        <f t="shared" ref="I59" si="20">((0.1238+(0.0481*B59+(0.0234*175)-(0.0138*53)-0.5473*1))*1000/4.186)</f>
        <v>1587.1476349737218</v>
      </c>
      <c r="J59" s="5">
        <f t="shared" si="4"/>
        <v>425.38031533683693</v>
      </c>
      <c r="K59" s="5">
        <v>950</v>
      </c>
      <c r="L59">
        <f>1054-G59</f>
        <v>676</v>
      </c>
      <c r="M59">
        <v>1054</v>
      </c>
    </row>
    <row r="60" spans="1:13" x14ac:dyDescent="0.65">
      <c r="A60" s="1">
        <v>42543</v>
      </c>
      <c r="B60">
        <v>77</v>
      </c>
      <c r="C60">
        <v>76.599999999999994</v>
      </c>
      <c r="D60">
        <f t="shared" si="1"/>
        <v>76.8</v>
      </c>
      <c r="E60">
        <f t="shared" si="17"/>
        <v>-5.4000000000000057</v>
      </c>
      <c r="F60">
        <v>2193</v>
      </c>
      <c r="G60">
        <v>357</v>
      </c>
      <c r="H60">
        <f t="shared" si="18"/>
        <v>1836</v>
      </c>
      <c r="I60" s="5">
        <f t="shared" ref="I60:I61" si="21">((0.1238+(0.0481*B60+(0.0234*175)-(0.0138*53)-0.5473*1))*1000/4.186)</f>
        <v>1587.1476349737218</v>
      </c>
      <c r="J60" s="5">
        <f t="shared" si="4"/>
        <v>425.38031533683693</v>
      </c>
      <c r="K60" s="5">
        <v>386</v>
      </c>
      <c r="L60">
        <f>1039-G60</f>
        <v>682</v>
      </c>
      <c r="M60">
        <v>1039</v>
      </c>
    </row>
    <row r="61" spans="1:13" x14ac:dyDescent="0.65">
      <c r="A61" s="1">
        <v>42544</v>
      </c>
      <c r="B61">
        <v>76.7</v>
      </c>
      <c r="D61">
        <f t="shared" si="1"/>
        <v>76.7</v>
      </c>
      <c r="E61">
        <f t="shared" si="17"/>
        <v>-5.7000000000000028</v>
      </c>
      <c r="F61">
        <v>2901</v>
      </c>
      <c r="G61">
        <f>200+476+520</f>
        <v>1196</v>
      </c>
      <c r="H61">
        <f t="shared" si="18"/>
        <v>1705</v>
      </c>
      <c r="I61" s="5">
        <f t="shared" si="21"/>
        <v>1583.7004300047779</v>
      </c>
      <c r="J61" s="5">
        <f t="shared" si="4"/>
        <v>425.83994266602963</v>
      </c>
      <c r="K61" s="5">
        <v>442</v>
      </c>
      <c r="L61">
        <f>M61-G61</f>
        <v>531</v>
      </c>
      <c r="M61">
        <v>1727</v>
      </c>
    </row>
    <row r="62" spans="1:13" x14ac:dyDescent="0.65">
      <c r="A62" s="1">
        <v>42545</v>
      </c>
      <c r="B62">
        <v>77.3</v>
      </c>
      <c r="D62">
        <f t="shared" si="1"/>
        <v>77.3</v>
      </c>
      <c r="E62">
        <f t="shared" si="17"/>
        <v>-5.1000000000000085</v>
      </c>
      <c r="F62">
        <v>2324</v>
      </c>
      <c r="G62">
        <f>357+130+260</f>
        <v>747</v>
      </c>
      <c r="H62">
        <f t="shared" si="18"/>
        <v>1577</v>
      </c>
      <c r="I62" s="5">
        <f t="shared" ref="I62" si="22">((0.1238+(0.0481*B62+(0.0234*175)-(0.0138*53)-0.5473*1))*1000/4.186)</f>
        <v>1590.5948399426659</v>
      </c>
      <c r="J62" s="5">
        <f t="shared" si="4"/>
        <v>424.92068800764469</v>
      </c>
      <c r="K62" s="5">
        <v>840</v>
      </c>
      <c r="L62">
        <f>789-357-34</f>
        <v>398</v>
      </c>
      <c r="M62">
        <v>789</v>
      </c>
    </row>
    <row r="63" spans="1:13" x14ac:dyDescent="0.65">
      <c r="A63" s="1">
        <v>42546</v>
      </c>
      <c r="B63">
        <v>76.900000000000006</v>
      </c>
      <c r="C63">
        <v>76.099999999999994</v>
      </c>
      <c r="D63">
        <f t="shared" si="1"/>
        <v>76.5</v>
      </c>
      <c r="E63">
        <f t="shared" si="17"/>
        <v>-5.5</v>
      </c>
      <c r="F63">
        <v>2324</v>
      </c>
      <c r="G63">
        <f>595+259</f>
        <v>854</v>
      </c>
      <c r="H63">
        <f t="shared" ref="H63:H67" si="23">F63-G63</f>
        <v>1470</v>
      </c>
      <c r="I63" s="5">
        <f t="shared" ref="I63" si="24">((0.1238+(0.0481*B63+(0.0234*175)-(0.0138*53)-0.5473*1))*1000/4.186)</f>
        <v>1585.9985666507405</v>
      </c>
      <c r="J63" s="5">
        <f t="shared" si="4"/>
        <v>425.53352444656798</v>
      </c>
      <c r="K63" s="5">
        <v>840</v>
      </c>
      <c r="L63">
        <f>M63-G63</f>
        <v>594</v>
      </c>
      <c r="M63">
        <v>1448</v>
      </c>
    </row>
    <row r="64" spans="1:13" x14ac:dyDescent="0.65">
      <c r="A64" s="1">
        <v>42547</v>
      </c>
      <c r="B64">
        <v>76.900000000000006</v>
      </c>
      <c r="D64">
        <f t="shared" si="1"/>
        <v>76.900000000000006</v>
      </c>
      <c r="E64">
        <f t="shared" si="17"/>
        <v>-5.5</v>
      </c>
      <c r="F64">
        <v>1733</v>
      </c>
      <c r="G64">
        <f>238+73+119</f>
        <v>430</v>
      </c>
      <c r="H64">
        <f t="shared" si="23"/>
        <v>1303</v>
      </c>
      <c r="I64" s="5">
        <f t="shared" ref="I64:I65" si="25">((0.1238+(0.0481*B64+(0.0234*175)-(0.0138*53)-0.5473*1))*1000/4.186)</f>
        <v>1585.9985666507405</v>
      </c>
      <c r="J64" s="5">
        <f t="shared" si="4"/>
        <v>425.53352444656798</v>
      </c>
      <c r="K64" s="5">
        <v>423</v>
      </c>
      <c r="L64">
        <f>670-238+31+39</f>
        <v>502</v>
      </c>
      <c r="M64">
        <f>L64+G64</f>
        <v>932</v>
      </c>
    </row>
    <row r="65" spans="1:13" x14ac:dyDescent="0.65">
      <c r="A65" s="1">
        <v>42548</v>
      </c>
      <c r="B65">
        <v>76.900000000000006</v>
      </c>
      <c r="D65">
        <f t="shared" ref="D65:D67" si="26">IF(C65=0,B65,(B65+C65)/2)</f>
        <v>76.900000000000006</v>
      </c>
      <c r="E65">
        <f t="shared" ref="E65:E67" si="27">B65-$B$2</f>
        <v>-5.5</v>
      </c>
      <c r="F65">
        <v>2005</v>
      </c>
      <c r="G65">
        <f>254+73</f>
        <v>327</v>
      </c>
      <c r="H65">
        <f t="shared" si="23"/>
        <v>1678</v>
      </c>
      <c r="I65" s="5">
        <f t="shared" si="25"/>
        <v>1585.9985666507405</v>
      </c>
      <c r="J65" s="5">
        <f t="shared" si="4"/>
        <v>425.53352444656798</v>
      </c>
      <c r="K65" s="5">
        <v>408</v>
      </c>
      <c r="L65">
        <f>607-254+63</f>
        <v>416</v>
      </c>
      <c r="M65">
        <f t="shared" ref="M65:M66" si="28">L65+G65</f>
        <v>743</v>
      </c>
    </row>
    <row r="66" spans="1:13" x14ac:dyDescent="0.65">
      <c r="A66" s="1">
        <v>42549</v>
      </c>
      <c r="B66">
        <v>76.900000000000006</v>
      </c>
      <c r="D66">
        <f t="shared" si="26"/>
        <v>76.900000000000006</v>
      </c>
      <c r="E66">
        <f t="shared" si="27"/>
        <v>-5.5</v>
      </c>
      <c r="F66">
        <v>2186</v>
      </c>
      <c r="G66">
        <v>381</v>
      </c>
      <c r="H66">
        <f t="shared" si="23"/>
        <v>1805</v>
      </c>
      <c r="I66" s="5">
        <f t="shared" ref="I66" si="29">((0.1238+(0.0481*B66+(0.0234*175)-(0.0138*53)-0.5473*1))*1000/4.186)</f>
        <v>1585.9985666507405</v>
      </c>
      <c r="J66" s="5">
        <f t="shared" si="4"/>
        <v>425.53352444656798</v>
      </c>
      <c r="K66" s="5">
        <v>564</v>
      </c>
      <c r="L66">
        <f>31+144</f>
        <v>175</v>
      </c>
      <c r="M66">
        <f t="shared" si="28"/>
        <v>556</v>
      </c>
    </row>
    <row r="67" spans="1:13" x14ac:dyDescent="0.65">
      <c r="A67" s="1">
        <v>42550</v>
      </c>
      <c r="B67">
        <v>76.599999999999994</v>
      </c>
      <c r="C67">
        <v>75.900000000000006</v>
      </c>
      <c r="D67">
        <f t="shared" si="26"/>
        <v>76.25</v>
      </c>
      <c r="E67">
        <f t="shared" si="27"/>
        <v>-5.8000000000000114</v>
      </c>
      <c r="F67">
        <v>2080</v>
      </c>
      <c r="G67">
        <f>119+89+219</f>
        <v>427</v>
      </c>
      <c r="H67">
        <f t="shared" si="23"/>
        <v>1653</v>
      </c>
      <c r="I67" s="5">
        <f t="shared" ref="I67" si="30">((0.1238+(0.0481*B67+(0.0234*175)-(0.0138*53)-0.5473*1))*1000/4.186)</f>
        <v>1582.5513616817964</v>
      </c>
      <c r="J67" s="5">
        <f t="shared" ref="J67:J130" si="31">1911+(I67*1.3-1911)*2/3-I67</f>
        <v>425.99315177576045</v>
      </c>
      <c r="K67" s="5">
        <v>632</v>
      </c>
      <c r="L67">
        <f>M67-G67</f>
        <v>565</v>
      </c>
      <c r="M67">
        <v>992</v>
      </c>
    </row>
    <row r="68" spans="1:13" x14ac:dyDescent="0.65">
      <c r="A68" s="11">
        <v>42551</v>
      </c>
      <c r="B68" s="12">
        <v>76.599999999999994</v>
      </c>
      <c r="C68" s="12"/>
      <c r="D68" s="12">
        <f t="shared" ref="D68" si="32">IF(C68=0,B68,(B68+C68)/2)</f>
        <v>76.599999999999994</v>
      </c>
      <c r="E68" s="12">
        <f t="shared" ref="E68" si="33">B68-$B$2</f>
        <v>-5.8000000000000114</v>
      </c>
      <c r="F68">
        <v>2162</v>
      </c>
      <c r="G68">
        <v>292</v>
      </c>
      <c r="H68">
        <f t="shared" ref="H68" si="34">F68-G68</f>
        <v>1870</v>
      </c>
      <c r="I68" s="5">
        <f t="shared" ref="I68" si="35">((0.1238+(0.0481*B68+(0.0234*175)-(0.0138*53)-0.5473*1))*1000/4.186)</f>
        <v>1582.5513616817964</v>
      </c>
      <c r="J68" s="5">
        <f t="shared" si="31"/>
        <v>425.99315177576045</v>
      </c>
      <c r="K68" s="5">
        <v>310</v>
      </c>
      <c r="L68">
        <f>M68-G68</f>
        <v>543</v>
      </c>
      <c r="M68">
        <v>835</v>
      </c>
    </row>
    <row r="69" spans="1:13" x14ac:dyDescent="0.65">
      <c r="A69" s="1">
        <v>42552</v>
      </c>
      <c r="B69">
        <v>76.8</v>
      </c>
      <c r="D69">
        <f t="shared" ref="D69" si="36">IF(C69=0,B69,(B69+C69)/2)</f>
        <v>76.8</v>
      </c>
      <c r="E69">
        <f t="shared" ref="E69" si="37">B69-$B$2</f>
        <v>-5.6000000000000085</v>
      </c>
      <c r="F69">
        <v>3191</v>
      </c>
      <c r="G69">
        <f>1190+238</f>
        <v>1428</v>
      </c>
      <c r="H69">
        <f t="shared" ref="H69" si="38">F69-G69</f>
        <v>1763</v>
      </c>
      <c r="I69" s="5">
        <f t="shared" ref="I69" si="39">((0.1238+(0.0481*B69+(0.0234*175)-(0.0138*53)-0.5473*1))*1000/4.186)</f>
        <v>1584.849498327759</v>
      </c>
      <c r="J69" s="5">
        <f t="shared" si="31"/>
        <v>425.6867335562988</v>
      </c>
      <c r="K69" s="5">
        <v>345</v>
      </c>
      <c r="L69">
        <f>M69-G69</f>
        <v>711</v>
      </c>
      <c r="M69">
        <f>1560+238+8+22+311</f>
        <v>2139</v>
      </c>
    </row>
    <row r="70" spans="1:13" x14ac:dyDescent="0.65">
      <c r="A70" s="1">
        <v>42553</v>
      </c>
      <c r="B70">
        <v>77.5</v>
      </c>
      <c r="D70">
        <f t="shared" ref="D70:D74" si="40">IF(C70=0,B70,(B70+C70)/2)</f>
        <v>77.5</v>
      </c>
      <c r="E70">
        <f t="shared" ref="E70:E74" si="41">B70-$B$2</f>
        <v>-4.9000000000000057</v>
      </c>
      <c r="F70">
        <v>1784</v>
      </c>
      <c r="G70">
        <f>72+140+238+219</f>
        <v>669</v>
      </c>
      <c r="H70">
        <f t="shared" ref="H70" si="42">F70-G70</f>
        <v>1115</v>
      </c>
      <c r="I70" s="5">
        <f t="shared" ref="I70" si="43">((0.1238+(0.0481*B70+(0.0234*175)-(0.0138*53)-0.5473*1))*1000/4.186)</f>
        <v>1592.8929765886287</v>
      </c>
      <c r="J70" s="5">
        <f t="shared" si="31"/>
        <v>424.61426978818304</v>
      </c>
      <c r="K70" s="5">
        <v>706</v>
      </c>
      <c r="L70">
        <f>M70-G70</f>
        <v>889</v>
      </c>
      <c r="M70">
        <f>639+919</f>
        <v>1558</v>
      </c>
    </row>
    <row r="71" spans="1:13" x14ac:dyDescent="0.65">
      <c r="A71" s="1">
        <v>42554</v>
      </c>
      <c r="B71">
        <v>76.2</v>
      </c>
      <c r="C71">
        <v>75.2</v>
      </c>
      <c r="D71">
        <f t="shared" si="40"/>
        <v>75.7</v>
      </c>
      <c r="E71">
        <f t="shared" si="41"/>
        <v>-6.2000000000000028</v>
      </c>
      <c r="F71">
        <v>1907</v>
      </c>
      <c r="G71">
        <f>238+146</f>
        <v>384</v>
      </c>
      <c r="H71">
        <f t="shared" ref="H71:H78" si="44">F71-G71</f>
        <v>1523</v>
      </c>
      <c r="I71" s="5">
        <f t="shared" ref="I71:I74" si="45">((0.1238+(0.0481*B71+(0.0234*175)-(0.0138*53)-0.5473*1))*1000/4.186)</f>
        <v>1577.955088389871</v>
      </c>
      <c r="J71" s="5">
        <f t="shared" si="31"/>
        <v>426.60598821468398</v>
      </c>
      <c r="K71" s="5">
        <v>562</v>
      </c>
      <c r="L71">
        <f t="shared" ref="L71:L77" si="46">M71-G71</f>
        <v>624</v>
      </c>
      <c r="M71">
        <v>1008</v>
      </c>
    </row>
    <row r="72" spans="1:13" x14ac:dyDescent="0.65">
      <c r="A72" s="1">
        <v>42555</v>
      </c>
      <c r="B72">
        <v>75.900000000000006</v>
      </c>
      <c r="D72">
        <f t="shared" si="40"/>
        <v>75.900000000000006</v>
      </c>
      <c r="E72">
        <f t="shared" si="41"/>
        <v>-6.5</v>
      </c>
      <c r="F72">
        <v>2450</v>
      </c>
      <c r="G72">
        <f>200+119+219</f>
        <v>538</v>
      </c>
      <c r="H72">
        <f t="shared" si="44"/>
        <v>1912</v>
      </c>
      <c r="I72" s="5">
        <f t="shared" si="45"/>
        <v>1574.5078834209271</v>
      </c>
      <c r="J72" s="5">
        <f t="shared" si="31"/>
        <v>427.06561554387645</v>
      </c>
      <c r="K72" s="5">
        <v>313</v>
      </c>
      <c r="L72">
        <f t="shared" si="46"/>
        <v>573</v>
      </c>
      <c r="M72">
        <v>1111</v>
      </c>
    </row>
    <row r="73" spans="1:13" x14ac:dyDescent="0.65">
      <c r="A73" s="1">
        <v>42556</v>
      </c>
      <c r="B73">
        <v>76.400000000000006</v>
      </c>
      <c r="D73">
        <f t="shared" si="40"/>
        <v>76.400000000000006</v>
      </c>
      <c r="E73">
        <f t="shared" si="41"/>
        <v>-6</v>
      </c>
      <c r="F73">
        <v>2253</v>
      </c>
      <c r="G73">
        <f>200+453</f>
        <v>653</v>
      </c>
      <c r="H73">
        <f t="shared" si="44"/>
        <v>1600</v>
      </c>
      <c r="I73" s="5">
        <f t="shared" si="45"/>
        <v>1580.2532250358338</v>
      </c>
      <c r="J73" s="5">
        <f t="shared" si="31"/>
        <v>426.29956999522233</v>
      </c>
      <c r="K73" s="5">
        <v>333</v>
      </c>
      <c r="L73">
        <f t="shared" si="46"/>
        <v>702</v>
      </c>
      <c r="M73">
        <v>1355</v>
      </c>
    </row>
    <row r="74" spans="1:13" x14ac:dyDescent="0.65">
      <c r="A74" s="1">
        <v>42557</v>
      </c>
      <c r="B74">
        <v>76.400000000000006</v>
      </c>
      <c r="D74">
        <f t="shared" si="40"/>
        <v>76.400000000000006</v>
      </c>
      <c r="E74">
        <f t="shared" si="41"/>
        <v>-6</v>
      </c>
      <c r="F74">
        <v>2350</v>
      </c>
      <c r="G74">
        <f>179+416+196</f>
        <v>791</v>
      </c>
      <c r="H74">
        <f t="shared" si="44"/>
        <v>1559</v>
      </c>
      <c r="I74" s="5">
        <f t="shared" si="45"/>
        <v>1580.2532250358338</v>
      </c>
      <c r="J74" s="5">
        <f t="shared" si="31"/>
        <v>426.29956999522233</v>
      </c>
      <c r="K74" s="5">
        <v>288</v>
      </c>
      <c r="L74">
        <f t="shared" si="46"/>
        <v>491</v>
      </c>
      <c r="M74">
        <f>1005+277</f>
        <v>1282</v>
      </c>
    </row>
    <row r="75" spans="1:13" x14ac:dyDescent="0.65">
      <c r="A75" s="1">
        <v>42558</v>
      </c>
      <c r="B75">
        <v>76.099999999999994</v>
      </c>
      <c r="C75">
        <v>75.599999999999994</v>
      </c>
      <c r="D75">
        <f t="shared" ref="D75:D79" si="47">IF(C75=0,B75,(B75+C75)/2)</f>
        <v>75.849999999999994</v>
      </c>
      <c r="E75">
        <f t="shared" ref="E75:E79" si="48">B75-$B$2</f>
        <v>-6.3000000000000114</v>
      </c>
      <c r="F75">
        <v>1965</v>
      </c>
      <c r="G75">
        <v>357</v>
      </c>
      <c r="H75">
        <f t="shared" si="44"/>
        <v>1608</v>
      </c>
      <c r="I75" s="5">
        <f t="shared" ref="I75:I77" si="49">((0.1238+(0.0481*B75+(0.0234*175)-(0.0138*53)-0.5473*1))*1000/4.186)</f>
        <v>1576.8060200668897</v>
      </c>
      <c r="J75" s="5">
        <f t="shared" si="31"/>
        <v>426.75919732441457</v>
      </c>
      <c r="K75" s="5">
        <v>336</v>
      </c>
      <c r="L75">
        <f>305+19+22+31</f>
        <v>377</v>
      </c>
      <c r="M75">
        <f>L75+G75</f>
        <v>734</v>
      </c>
    </row>
    <row r="76" spans="1:13" x14ac:dyDescent="0.65">
      <c r="A76" s="1">
        <v>42559</v>
      </c>
      <c r="B76">
        <v>76.400000000000006</v>
      </c>
      <c r="D76">
        <f t="shared" si="47"/>
        <v>76.400000000000006</v>
      </c>
      <c r="E76">
        <f t="shared" si="48"/>
        <v>-6</v>
      </c>
      <c r="F76">
        <v>3945</v>
      </c>
      <c r="G76">
        <f>200+595+189</f>
        <v>984</v>
      </c>
      <c r="H76">
        <f t="shared" si="44"/>
        <v>2961</v>
      </c>
      <c r="I76" s="5">
        <f t="shared" si="49"/>
        <v>1580.2532250358338</v>
      </c>
      <c r="J76" s="5">
        <f t="shared" si="31"/>
        <v>426.29956999522233</v>
      </c>
      <c r="K76" s="5">
        <v>405</v>
      </c>
      <c r="L76">
        <f t="shared" si="46"/>
        <v>1708</v>
      </c>
      <c r="M76">
        <f>1665+530+473+24</f>
        <v>2692</v>
      </c>
    </row>
    <row r="77" spans="1:13" x14ac:dyDescent="0.65">
      <c r="A77" s="1">
        <v>42560</v>
      </c>
      <c r="B77">
        <v>76.400000000000006</v>
      </c>
      <c r="C77">
        <v>75.5</v>
      </c>
      <c r="D77">
        <f t="shared" si="47"/>
        <v>75.95</v>
      </c>
      <c r="E77">
        <f t="shared" si="48"/>
        <v>-6</v>
      </c>
      <c r="F77">
        <v>2101</v>
      </c>
      <c r="G77">
        <f>476+146</f>
        <v>622</v>
      </c>
      <c r="H77">
        <f t="shared" si="44"/>
        <v>1479</v>
      </c>
      <c r="I77" s="5">
        <f t="shared" si="49"/>
        <v>1580.2532250358338</v>
      </c>
      <c r="J77" s="5">
        <f t="shared" si="31"/>
        <v>426.29956999522233</v>
      </c>
      <c r="K77" s="5">
        <v>474</v>
      </c>
      <c r="L77">
        <f t="shared" si="46"/>
        <v>792</v>
      </c>
      <c r="M77">
        <v>1414</v>
      </c>
    </row>
    <row r="78" spans="1:13" x14ac:dyDescent="0.65">
      <c r="A78" s="1">
        <v>42561</v>
      </c>
      <c r="B78">
        <v>75.599999999999994</v>
      </c>
      <c r="D78">
        <f t="shared" si="47"/>
        <v>75.599999999999994</v>
      </c>
      <c r="E78">
        <f t="shared" si="48"/>
        <v>-6.8000000000000114</v>
      </c>
      <c r="F78">
        <v>2520</v>
      </c>
      <c r="G78">
        <f>378</f>
        <v>378</v>
      </c>
      <c r="H78">
        <f t="shared" si="44"/>
        <v>2142</v>
      </c>
      <c r="I78" s="5">
        <f t="shared" ref="I78" si="50">((0.1238+(0.0481*B78+(0.0234*175)-(0.0138*53)-0.5473*1))*1000/4.186)</f>
        <v>1571.0606784519825</v>
      </c>
      <c r="J78" s="5">
        <f t="shared" si="31"/>
        <v>427.52524287306915</v>
      </c>
      <c r="K78" s="5">
        <v>245</v>
      </c>
      <c r="L78">
        <f t="shared" ref="L78" si="51">M78-G78</f>
        <v>1029</v>
      </c>
      <c r="M78">
        <v>1407</v>
      </c>
    </row>
    <row r="79" spans="1:13" x14ac:dyDescent="0.65">
      <c r="A79" s="1">
        <v>42562</v>
      </c>
      <c r="B79">
        <v>76.099999999999994</v>
      </c>
      <c r="D79">
        <f t="shared" si="47"/>
        <v>76.099999999999994</v>
      </c>
      <c r="E79">
        <f t="shared" si="48"/>
        <v>-6.3000000000000114</v>
      </c>
      <c r="F79">
        <v>2287</v>
      </c>
      <c r="G79">
        <f>238+438</f>
        <v>676</v>
      </c>
      <c r="H79">
        <f t="shared" ref="H79" si="52">F79-G79</f>
        <v>1611</v>
      </c>
      <c r="I79" s="5">
        <f t="shared" ref="I79" si="53">((0.1238+(0.0481*B79+(0.0234*175)-(0.0138*53)-0.5473*1))*1000/4.186)</f>
        <v>1576.8060200668897</v>
      </c>
      <c r="J79" s="5">
        <f t="shared" si="31"/>
        <v>426.75919732441457</v>
      </c>
      <c r="K79" s="5">
        <v>571</v>
      </c>
      <c r="L79">
        <f t="shared" ref="L79" si="54">M79-G79</f>
        <v>665</v>
      </c>
      <c r="M79">
        <v>1341</v>
      </c>
    </row>
    <row r="80" spans="1:13" x14ac:dyDescent="0.65">
      <c r="A80" s="1">
        <v>42563</v>
      </c>
      <c r="B80">
        <v>76.099999999999994</v>
      </c>
      <c r="D80">
        <f t="shared" ref="D80:D86" si="55">IF(C80=0,B80,(B80+C80)/2)</f>
        <v>76.099999999999994</v>
      </c>
      <c r="E80">
        <f t="shared" ref="E80:E86" si="56">B80-$B$2</f>
        <v>-6.3000000000000114</v>
      </c>
      <c r="F80">
        <v>2255</v>
      </c>
      <c r="G80">
        <f>236+370</f>
        <v>606</v>
      </c>
      <c r="H80">
        <f t="shared" ref="H80:H88" si="57">F80-G80</f>
        <v>1649</v>
      </c>
      <c r="I80" s="5">
        <f t="shared" ref="I80:I84" si="58">((0.1238+(0.0481*B80+(0.0234*175)-(0.0138*53)-0.5473*1))*1000/4.186)</f>
        <v>1576.8060200668897</v>
      </c>
      <c r="J80" s="5">
        <f t="shared" si="31"/>
        <v>426.75919732441457</v>
      </c>
      <c r="K80" s="5">
        <v>571</v>
      </c>
      <c r="L80">
        <f t="shared" ref="L80:L88" si="59">M80-G80</f>
        <v>786</v>
      </c>
      <c r="M80">
        <v>1392</v>
      </c>
    </row>
    <row r="81" spans="1:13" x14ac:dyDescent="0.65">
      <c r="A81" s="1">
        <v>42564</v>
      </c>
      <c r="B81">
        <v>76.099999999999994</v>
      </c>
      <c r="C81">
        <v>74.900000000000006</v>
      </c>
      <c r="D81">
        <f t="shared" si="55"/>
        <v>75.5</v>
      </c>
      <c r="E81">
        <f t="shared" si="56"/>
        <v>-6.3000000000000114</v>
      </c>
      <c r="F81">
        <v>2165</v>
      </c>
      <c r="G81">
        <f>217+129</f>
        <v>346</v>
      </c>
      <c r="H81">
        <f t="shared" si="57"/>
        <v>1819</v>
      </c>
      <c r="I81" s="5">
        <f t="shared" si="58"/>
        <v>1576.8060200668897</v>
      </c>
      <c r="J81" s="5">
        <f t="shared" si="31"/>
        <v>426.75919732441457</v>
      </c>
      <c r="K81" s="5">
        <v>656</v>
      </c>
      <c r="L81">
        <f t="shared" si="59"/>
        <v>628</v>
      </c>
      <c r="M81">
        <v>974</v>
      </c>
    </row>
    <row r="82" spans="1:13" x14ac:dyDescent="0.65">
      <c r="A82" s="1">
        <v>42565</v>
      </c>
      <c r="B82">
        <v>75.5</v>
      </c>
      <c r="D82">
        <f t="shared" si="55"/>
        <v>75.5</v>
      </c>
      <c r="E82">
        <f t="shared" si="56"/>
        <v>-6.9000000000000057</v>
      </c>
      <c r="F82">
        <v>2305</v>
      </c>
      <c r="G82">
        <f>119+147+146</f>
        <v>412</v>
      </c>
      <c r="H82">
        <f t="shared" si="57"/>
        <v>1893</v>
      </c>
      <c r="I82" s="5">
        <f t="shared" si="58"/>
        <v>1569.9116101290015</v>
      </c>
      <c r="J82" s="5">
        <f t="shared" si="31"/>
        <v>427.67845198279997</v>
      </c>
      <c r="K82" s="5">
        <v>344</v>
      </c>
      <c r="L82">
        <f t="shared" si="59"/>
        <v>606</v>
      </c>
      <c r="M82">
        <f>795+223</f>
        <v>1018</v>
      </c>
    </row>
    <row r="83" spans="1:13" x14ac:dyDescent="0.65">
      <c r="A83" s="1">
        <v>42566</v>
      </c>
      <c r="B83">
        <v>76</v>
      </c>
      <c r="D83">
        <f t="shared" si="55"/>
        <v>76</v>
      </c>
      <c r="E83">
        <f t="shared" si="56"/>
        <v>-6.4000000000000057</v>
      </c>
      <c r="F83">
        <v>2389</v>
      </c>
      <c r="G83">
        <f>119*2+208</f>
        <v>446</v>
      </c>
      <c r="H83">
        <f t="shared" si="57"/>
        <v>1943</v>
      </c>
      <c r="I83" s="5">
        <f t="shared" si="58"/>
        <v>1575.6569517439082</v>
      </c>
      <c r="J83" s="5">
        <f t="shared" si="31"/>
        <v>426.91240643414585</v>
      </c>
      <c r="K83" s="5">
        <v>462</v>
      </c>
      <c r="L83">
        <f t="shared" si="59"/>
        <v>824</v>
      </c>
      <c r="M83">
        <f>884+465-79</f>
        <v>1270</v>
      </c>
    </row>
    <row r="84" spans="1:13" x14ac:dyDescent="0.65">
      <c r="A84" s="1">
        <v>42567</v>
      </c>
      <c r="B84">
        <v>76</v>
      </c>
      <c r="C84">
        <v>75.2</v>
      </c>
      <c r="D84">
        <f t="shared" si="55"/>
        <v>75.599999999999994</v>
      </c>
      <c r="E84">
        <f t="shared" si="56"/>
        <v>-6.4000000000000057</v>
      </c>
      <c r="F84">
        <v>2008</v>
      </c>
      <c r="G84">
        <f>238+146</f>
        <v>384</v>
      </c>
      <c r="H84">
        <f t="shared" si="57"/>
        <v>1624</v>
      </c>
      <c r="I84" s="5">
        <f t="shared" si="58"/>
        <v>1575.6569517439082</v>
      </c>
      <c r="J84" s="5">
        <f t="shared" si="31"/>
        <v>426.91240643414585</v>
      </c>
      <c r="K84" s="5">
        <v>423</v>
      </c>
      <c r="L84">
        <f t="shared" si="59"/>
        <v>842</v>
      </c>
      <c r="M84">
        <v>1226</v>
      </c>
    </row>
    <row r="85" spans="1:13" x14ac:dyDescent="0.65">
      <c r="A85" s="1">
        <v>42568</v>
      </c>
      <c r="B85">
        <v>74.7</v>
      </c>
      <c r="D85">
        <f t="shared" si="55"/>
        <v>74.7</v>
      </c>
      <c r="E85">
        <f t="shared" si="56"/>
        <v>-7.7000000000000028</v>
      </c>
      <c r="F85">
        <v>2150</v>
      </c>
      <c r="G85">
        <v>254</v>
      </c>
      <c r="H85">
        <f t="shared" si="57"/>
        <v>1896</v>
      </c>
      <c r="I85" s="5">
        <f t="shared" ref="I85:I88" si="60">((0.1238+(0.0481*B85+(0.0234*175)-(0.0138*53)-0.5473*1))*1000/4.186)</f>
        <v>1560.7190635451504</v>
      </c>
      <c r="J85" s="5">
        <f t="shared" si="31"/>
        <v>428.90412486064679</v>
      </c>
      <c r="K85" s="5">
        <f>200+544</f>
        <v>744</v>
      </c>
      <c r="L85">
        <f t="shared" si="59"/>
        <v>672</v>
      </c>
      <c r="M85">
        <v>926</v>
      </c>
    </row>
    <row r="86" spans="1:13" x14ac:dyDescent="0.65">
      <c r="A86" s="1">
        <v>42569</v>
      </c>
      <c r="B86">
        <v>75.2</v>
      </c>
      <c r="D86">
        <f t="shared" si="55"/>
        <v>75.2</v>
      </c>
      <c r="E86">
        <f t="shared" si="56"/>
        <v>-7.2000000000000028</v>
      </c>
      <c r="F86">
        <v>2060</v>
      </c>
      <c r="G86">
        <v>595</v>
      </c>
      <c r="H86">
        <f t="shared" si="57"/>
        <v>1465</v>
      </c>
      <c r="I86" s="5">
        <f t="shared" si="60"/>
        <v>1566.4644051600574</v>
      </c>
      <c r="J86" s="5">
        <f t="shared" si="31"/>
        <v>428.13807931199244</v>
      </c>
      <c r="K86" s="5">
        <v>875</v>
      </c>
      <c r="L86">
        <f t="shared" si="59"/>
        <v>531</v>
      </c>
      <c r="M86">
        <v>1126</v>
      </c>
    </row>
    <row r="87" spans="1:13" x14ac:dyDescent="0.65">
      <c r="A87" s="1">
        <v>42570</v>
      </c>
      <c r="B87">
        <v>75.3</v>
      </c>
      <c r="D87">
        <f t="shared" ref="D87:D88" si="61">IF(C87=0,B87,(B87+C87)/2)</f>
        <v>75.3</v>
      </c>
      <c r="E87">
        <f t="shared" ref="E87:E88" si="62">B87-$B$2</f>
        <v>-7.1000000000000085</v>
      </c>
      <c r="F87">
        <v>2432</v>
      </c>
      <c r="G87">
        <f>357+312</f>
        <v>669</v>
      </c>
      <c r="H87">
        <f t="shared" si="57"/>
        <v>1763</v>
      </c>
      <c r="I87" s="5">
        <f t="shared" si="60"/>
        <v>1567.6134734830387</v>
      </c>
      <c r="J87" s="5">
        <f t="shared" si="31"/>
        <v>427.98487020226162</v>
      </c>
      <c r="K87" s="5">
        <v>229</v>
      </c>
      <c r="L87">
        <f t="shared" si="59"/>
        <v>516</v>
      </c>
      <c r="M87">
        <v>1185</v>
      </c>
    </row>
    <row r="88" spans="1:13" x14ac:dyDescent="0.65">
      <c r="A88" s="1">
        <v>42571</v>
      </c>
      <c r="B88">
        <v>74.900000000000006</v>
      </c>
      <c r="C88">
        <v>74.3</v>
      </c>
      <c r="D88">
        <f t="shared" si="61"/>
        <v>74.599999999999994</v>
      </c>
      <c r="E88">
        <f t="shared" si="62"/>
        <v>-7.5</v>
      </c>
      <c r="F88">
        <v>1861</v>
      </c>
      <c r="G88">
        <f>476+312</f>
        <v>788</v>
      </c>
      <c r="H88">
        <f t="shared" si="57"/>
        <v>1073</v>
      </c>
      <c r="I88" s="5">
        <f t="shared" si="60"/>
        <v>1563.0172001911133</v>
      </c>
      <c r="J88" s="5">
        <f t="shared" si="31"/>
        <v>428.59770664118491</v>
      </c>
      <c r="K88" s="5">
        <v>369</v>
      </c>
      <c r="L88">
        <f t="shared" si="59"/>
        <v>396</v>
      </c>
      <c r="M88">
        <v>1184</v>
      </c>
    </row>
    <row r="89" spans="1:13" x14ac:dyDescent="0.65">
      <c r="A89" s="1">
        <v>42572</v>
      </c>
      <c r="B89">
        <v>74.900000000000006</v>
      </c>
      <c r="D89">
        <f t="shared" ref="D89:D140" si="63">IF(C89=0,B89,(B89+C89)/2)</f>
        <v>74.900000000000006</v>
      </c>
      <c r="E89">
        <f t="shared" ref="E89:E140" si="64">B89-$B$2</f>
        <v>-7.5</v>
      </c>
      <c r="F89">
        <v>2828</v>
      </c>
      <c r="G89">
        <f>357+259+520</f>
        <v>1136</v>
      </c>
      <c r="H89">
        <f t="shared" ref="H89:H103" si="65">F89-G89</f>
        <v>1692</v>
      </c>
      <c r="I89" s="5">
        <f t="shared" ref="I89:I92" si="66">((0.1238+(0.0481*B89+(0.0234*175)-(0.0138*53)-0.5473*1))*1000/4.186)</f>
        <v>1563.0172001911133</v>
      </c>
      <c r="J89" s="5">
        <f t="shared" si="31"/>
        <v>428.59770664118491</v>
      </c>
      <c r="K89" s="5">
        <v>512</v>
      </c>
      <c r="L89">
        <f t="shared" ref="L89:L103" si="67">M89-G89</f>
        <v>772</v>
      </c>
      <c r="M89">
        <v>1908</v>
      </c>
    </row>
    <row r="90" spans="1:13" x14ac:dyDescent="0.65">
      <c r="A90" s="1">
        <v>42573</v>
      </c>
      <c r="B90">
        <v>75.2</v>
      </c>
      <c r="D90">
        <f t="shared" si="63"/>
        <v>75.2</v>
      </c>
      <c r="E90">
        <f t="shared" si="64"/>
        <v>-7.2000000000000028</v>
      </c>
      <c r="F90">
        <v>2722</v>
      </c>
      <c r="G90">
        <f>714+208</f>
        <v>922</v>
      </c>
      <c r="H90">
        <f t="shared" si="65"/>
        <v>1800</v>
      </c>
      <c r="I90" s="5">
        <f t="shared" si="66"/>
        <v>1566.4644051600574</v>
      </c>
      <c r="J90" s="5">
        <f t="shared" si="31"/>
        <v>428.13807931199244</v>
      </c>
      <c r="K90" s="5">
        <v>171</v>
      </c>
      <c r="L90">
        <f t="shared" si="67"/>
        <v>581</v>
      </c>
      <c r="M90">
        <v>1503</v>
      </c>
    </row>
    <row r="91" spans="1:13" x14ac:dyDescent="0.65">
      <c r="A91" s="1">
        <v>42574</v>
      </c>
      <c r="B91">
        <v>75.599999999999994</v>
      </c>
      <c r="C91">
        <v>74.7</v>
      </c>
      <c r="D91">
        <f t="shared" si="63"/>
        <v>75.150000000000006</v>
      </c>
      <c r="E91">
        <f t="shared" si="64"/>
        <v>-6.8000000000000114</v>
      </c>
      <c r="F91">
        <v>1828</v>
      </c>
      <c r="G91">
        <f>238+73</f>
        <v>311</v>
      </c>
      <c r="H91">
        <f t="shared" si="65"/>
        <v>1517</v>
      </c>
      <c r="I91" s="5">
        <f t="shared" si="66"/>
        <v>1571.0606784519825</v>
      </c>
      <c r="J91" s="5">
        <f t="shared" si="31"/>
        <v>427.52524287306915</v>
      </c>
      <c r="K91" s="5">
        <v>230</v>
      </c>
      <c r="L91">
        <f t="shared" si="67"/>
        <v>1004</v>
      </c>
      <c r="M91">
        <v>1315</v>
      </c>
    </row>
    <row r="92" spans="1:13" x14ac:dyDescent="0.65">
      <c r="A92" s="1">
        <v>42575</v>
      </c>
      <c r="B92">
        <v>74.900000000000006</v>
      </c>
      <c r="D92">
        <f t="shared" si="63"/>
        <v>74.900000000000006</v>
      </c>
      <c r="E92">
        <f t="shared" si="64"/>
        <v>-7.5</v>
      </c>
      <c r="F92">
        <v>2768</v>
      </c>
      <c r="G92">
        <f>144+144+400+714</f>
        <v>1402</v>
      </c>
      <c r="H92">
        <f t="shared" si="65"/>
        <v>1366</v>
      </c>
      <c r="I92" s="5">
        <f t="shared" si="66"/>
        <v>1563.0172001911133</v>
      </c>
      <c r="J92" s="5">
        <f t="shared" si="31"/>
        <v>428.59770664118491</v>
      </c>
      <c r="K92" s="5">
        <v>241</v>
      </c>
      <c r="L92">
        <f t="shared" si="67"/>
        <v>338</v>
      </c>
      <c r="M92">
        <v>1740</v>
      </c>
    </row>
    <row r="93" spans="1:13" x14ac:dyDescent="0.65">
      <c r="A93" s="1">
        <v>42576</v>
      </c>
      <c r="B93">
        <v>75.599999999999994</v>
      </c>
      <c r="D93">
        <f t="shared" si="63"/>
        <v>75.599999999999994</v>
      </c>
      <c r="E93">
        <f t="shared" si="64"/>
        <v>-6.8000000000000114</v>
      </c>
      <c r="F93">
        <v>2033</v>
      </c>
      <c r="G93">
        <v>219</v>
      </c>
      <c r="H93">
        <f t="shared" si="65"/>
        <v>1814</v>
      </c>
      <c r="I93" s="5">
        <f t="shared" ref="I93:I119" si="68">((0.1238+(0.0481*B93+(0.0234*175)-(0.0138*53)-0.5473*1))*1000/4.186)</f>
        <v>1571.0606784519825</v>
      </c>
      <c r="J93" s="5">
        <f t="shared" si="31"/>
        <v>427.52524287306915</v>
      </c>
      <c r="K93" s="5">
        <v>260</v>
      </c>
      <c r="L93">
        <f t="shared" si="67"/>
        <v>619</v>
      </c>
      <c r="M93">
        <v>838</v>
      </c>
    </row>
    <row r="94" spans="1:13" x14ac:dyDescent="0.65">
      <c r="A94" s="1">
        <v>42577</v>
      </c>
      <c r="B94">
        <v>75.3</v>
      </c>
      <c r="D94">
        <f t="shared" si="63"/>
        <v>75.3</v>
      </c>
      <c r="E94">
        <f t="shared" si="64"/>
        <v>-7.1000000000000085</v>
      </c>
      <c r="F94">
        <v>2539</v>
      </c>
      <c r="G94">
        <f>140+119+219+312</f>
        <v>790</v>
      </c>
      <c r="H94">
        <f t="shared" si="65"/>
        <v>1749</v>
      </c>
      <c r="I94" s="5">
        <f t="shared" si="68"/>
        <v>1567.6134734830387</v>
      </c>
      <c r="J94" s="5">
        <f t="shared" si="31"/>
        <v>427.98487020226162</v>
      </c>
      <c r="K94" s="5">
        <v>510</v>
      </c>
      <c r="L94">
        <f t="shared" si="67"/>
        <v>457</v>
      </c>
      <c r="M94">
        <f>1114+133</f>
        <v>1247</v>
      </c>
    </row>
    <row r="95" spans="1:13" x14ac:dyDescent="0.65">
      <c r="A95" s="1">
        <v>42578</v>
      </c>
      <c r="B95">
        <v>75.3</v>
      </c>
      <c r="C95">
        <v>75</v>
      </c>
      <c r="D95">
        <f t="shared" si="63"/>
        <v>75.150000000000006</v>
      </c>
      <c r="E95">
        <f t="shared" si="64"/>
        <v>-7.1000000000000085</v>
      </c>
      <c r="F95">
        <v>2098</v>
      </c>
      <c r="G95">
        <f>37+238</f>
        <v>275</v>
      </c>
      <c r="H95">
        <f t="shared" si="65"/>
        <v>1823</v>
      </c>
      <c r="I95" s="5">
        <f t="shared" si="68"/>
        <v>1567.6134734830387</v>
      </c>
      <c r="J95" s="5">
        <f t="shared" si="31"/>
        <v>427.98487020226162</v>
      </c>
      <c r="K95" s="5">
        <v>479</v>
      </c>
      <c r="L95">
        <f t="shared" si="67"/>
        <v>656</v>
      </c>
      <c r="M95">
        <v>931</v>
      </c>
    </row>
    <row r="96" spans="1:13" x14ac:dyDescent="0.65">
      <c r="A96" s="1">
        <v>42579</v>
      </c>
      <c r="B96">
        <v>75.2</v>
      </c>
      <c r="D96">
        <f t="shared" si="63"/>
        <v>75.2</v>
      </c>
      <c r="E96">
        <f t="shared" si="64"/>
        <v>-7.2000000000000028</v>
      </c>
      <c r="F96">
        <v>2033</v>
      </c>
      <c r="G96">
        <f>127+259</f>
        <v>386</v>
      </c>
      <c r="H96">
        <f t="shared" si="65"/>
        <v>1647</v>
      </c>
      <c r="I96" s="5">
        <f t="shared" si="68"/>
        <v>1566.4644051600574</v>
      </c>
      <c r="J96" s="5">
        <f t="shared" si="31"/>
        <v>428.13807931199244</v>
      </c>
      <c r="K96" s="5">
        <v>75</v>
      </c>
      <c r="L96">
        <f t="shared" si="67"/>
        <v>615</v>
      </c>
      <c r="M96">
        <v>1001</v>
      </c>
    </row>
    <row r="97" spans="1:13" x14ac:dyDescent="0.65">
      <c r="A97" s="11">
        <v>42580</v>
      </c>
      <c r="B97" s="12">
        <v>74.900000000000006</v>
      </c>
      <c r="C97" s="12"/>
      <c r="D97" s="12">
        <f t="shared" si="63"/>
        <v>74.900000000000006</v>
      </c>
      <c r="E97" s="12">
        <f t="shared" si="64"/>
        <v>-7.5</v>
      </c>
      <c r="F97">
        <v>2891</v>
      </c>
      <c r="G97">
        <f>400+264+365</f>
        <v>1029</v>
      </c>
      <c r="H97">
        <f t="shared" si="65"/>
        <v>1862</v>
      </c>
      <c r="I97" s="5">
        <f t="shared" si="68"/>
        <v>1563.0172001911133</v>
      </c>
      <c r="J97" s="5">
        <f t="shared" si="31"/>
        <v>428.59770664118491</v>
      </c>
      <c r="K97" s="5">
        <v>311</v>
      </c>
      <c r="L97">
        <f t="shared" si="67"/>
        <v>1015</v>
      </c>
      <c r="M97">
        <v>2044</v>
      </c>
    </row>
    <row r="98" spans="1:13" x14ac:dyDescent="0.65">
      <c r="A98" s="1">
        <v>42581</v>
      </c>
      <c r="B98">
        <v>75.599999999999994</v>
      </c>
      <c r="C98">
        <v>73.900000000000006</v>
      </c>
      <c r="D98">
        <f t="shared" si="63"/>
        <v>74.75</v>
      </c>
      <c r="E98">
        <f t="shared" si="64"/>
        <v>-6.8000000000000114</v>
      </c>
      <c r="F98">
        <v>2172</v>
      </c>
      <c r="G98">
        <f>72+476</f>
        <v>548</v>
      </c>
      <c r="H98">
        <f t="shared" si="65"/>
        <v>1624</v>
      </c>
      <c r="I98" s="5">
        <f t="shared" si="68"/>
        <v>1571.0606784519825</v>
      </c>
      <c r="J98" s="5">
        <f t="shared" si="31"/>
        <v>427.52524287306915</v>
      </c>
      <c r="K98" s="5">
        <v>695</v>
      </c>
      <c r="L98">
        <f t="shared" si="67"/>
        <v>866</v>
      </c>
      <c r="M98">
        <v>1414</v>
      </c>
    </row>
    <row r="99" spans="1:13" x14ac:dyDescent="0.65">
      <c r="A99" s="1">
        <v>42582</v>
      </c>
      <c r="B99">
        <v>75.900000000000006</v>
      </c>
      <c r="D99">
        <f t="shared" si="63"/>
        <v>75.900000000000006</v>
      </c>
      <c r="E99">
        <f t="shared" si="64"/>
        <v>-6.5</v>
      </c>
      <c r="F99">
        <v>1711</v>
      </c>
      <c r="G99">
        <v>0</v>
      </c>
      <c r="H99">
        <f t="shared" si="65"/>
        <v>1711</v>
      </c>
      <c r="I99" s="5">
        <f t="shared" si="68"/>
        <v>1574.5078834209271</v>
      </c>
      <c r="J99" s="5">
        <f t="shared" si="31"/>
        <v>427.06561554387645</v>
      </c>
      <c r="K99" s="5">
        <v>262</v>
      </c>
      <c r="L99">
        <f t="shared" si="67"/>
        <v>0</v>
      </c>
      <c r="M99">
        <v>0</v>
      </c>
    </row>
    <row r="100" spans="1:13" x14ac:dyDescent="0.65">
      <c r="A100" s="1">
        <v>42583</v>
      </c>
      <c r="B100">
        <v>75.7</v>
      </c>
      <c r="D100">
        <f t="shared" si="63"/>
        <v>75.7</v>
      </c>
      <c r="E100">
        <f t="shared" si="64"/>
        <v>-6.7000000000000028</v>
      </c>
      <c r="F100">
        <v>2163</v>
      </c>
      <c r="G100">
        <f>357+312</f>
        <v>669</v>
      </c>
      <c r="H100">
        <f t="shared" si="65"/>
        <v>1494</v>
      </c>
      <c r="I100" s="5">
        <f t="shared" si="68"/>
        <v>1572.2097467749641</v>
      </c>
      <c r="J100" s="5">
        <f t="shared" si="31"/>
        <v>427.37203376333832</v>
      </c>
      <c r="K100" s="5">
        <v>1277</v>
      </c>
      <c r="L100">
        <f t="shared" si="67"/>
        <v>341</v>
      </c>
      <c r="M100">
        <v>1010</v>
      </c>
    </row>
    <row r="101" spans="1:13" x14ac:dyDescent="0.65">
      <c r="A101" s="1">
        <v>42584</v>
      </c>
      <c r="B101">
        <v>75.3</v>
      </c>
      <c r="D101">
        <f t="shared" si="63"/>
        <v>75.3</v>
      </c>
      <c r="E101">
        <f t="shared" si="64"/>
        <v>-7.1000000000000085</v>
      </c>
      <c r="F101">
        <v>2441</v>
      </c>
      <c r="G101">
        <f>119+438</f>
        <v>557</v>
      </c>
      <c r="H101">
        <f t="shared" si="65"/>
        <v>1884</v>
      </c>
      <c r="I101" s="5">
        <f t="shared" si="68"/>
        <v>1567.6134734830387</v>
      </c>
      <c r="J101" s="5">
        <f t="shared" si="31"/>
        <v>427.98487020226162</v>
      </c>
      <c r="K101" s="5">
        <v>119</v>
      </c>
      <c r="L101">
        <f t="shared" si="67"/>
        <v>747</v>
      </c>
      <c r="M101">
        <v>1304</v>
      </c>
    </row>
    <row r="102" spans="1:13" x14ac:dyDescent="0.65">
      <c r="A102" s="1">
        <v>42585</v>
      </c>
      <c r="B102">
        <v>75.400000000000006</v>
      </c>
      <c r="D102">
        <f t="shared" si="63"/>
        <v>75.400000000000006</v>
      </c>
      <c r="E102">
        <f t="shared" si="64"/>
        <v>-7</v>
      </c>
      <c r="F102">
        <v>2103</v>
      </c>
      <c r="G102">
        <f>119+259</f>
        <v>378</v>
      </c>
      <c r="H102">
        <f t="shared" si="65"/>
        <v>1725</v>
      </c>
      <c r="I102" s="5">
        <f t="shared" si="68"/>
        <v>1568.7625418060202</v>
      </c>
      <c r="J102" s="5">
        <f t="shared" si="31"/>
        <v>427.83166109253057</v>
      </c>
      <c r="K102" s="5">
        <v>146</v>
      </c>
      <c r="L102">
        <f t="shared" si="67"/>
        <v>553</v>
      </c>
      <c r="M102">
        <v>931</v>
      </c>
    </row>
    <row r="103" spans="1:13" x14ac:dyDescent="0.65">
      <c r="A103" s="1">
        <v>42586</v>
      </c>
      <c r="B103">
        <v>75.400000000000006</v>
      </c>
      <c r="D103">
        <f t="shared" si="63"/>
        <v>75.400000000000006</v>
      </c>
      <c r="E103">
        <f t="shared" si="64"/>
        <v>-7</v>
      </c>
      <c r="F103">
        <v>3015</v>
      </c>
      <c r="G103">
        <f>72+357+520</f>
        <v>949</v>
      </c>
      <c r="H103">
        <f t="shared" si="65"/>
        <v>2066</v>
      </c>
      <c r="I103" s="5">
        <f t="shared" si="68"/>
        <v>1568.7625418060202</v>
      </c>
      <c r="J103" s="5">
        <f t="shared" si="31"/>
        <v>427.83166109253057</v>
      </c>
      <c r="K103" s="5">
        <v>643</v>
      </c>
      <c r="L103">
        <f t="shared" si="67"/>
        <v>1092</v>
      </c>
      <c r="M103">
        <v>2041</v>
      </c>
    </row>
    <row r="104" spans="1:13" x14ac:dyDescent="0.65">
      <c r="A104" s="1">
        <v>42587</v>
      </c>
      <c r="B104">
        <v>75.400000000000006</v>
      </c>
      <c r="D104">
        <f t="shared" si="63"/>
        <v>75.400000000000006</v>
      </c>
      <c r="E104">
        <f t="shared" si="64"/>
        <v>-7</v>
      </c>
      <c r="F104">
        <v>2953</v>
      </c>
      <c r="G104">
        <f>200+555+312</f>
        <v>1067</v>
      </c>
      <c r="H104">
        <f t="shared" ref="H104:H167" si="69">F104-G104</f>
        <v>1886</v>
      </c>
      <c r="I104" s="5">
        <f t="shared" ref="I104" si="70">((0.1238+(0.0481*B104+(0.0234*175)-(0.0138*53)-0.5473*1))*1000/4.186)</f>
        <v>1568.7625418060202</v>
      </c>
      <c r="J104" s="5">
        <f t="shared" si="31"/>
        <v>427.83166109253057</v>
      </c>
      <c r="K104" s="5">
        <v>234</v>
      </c>
      <c r="L104">
        <f t="shared" ref="L104:L167" si="71">M104-G104</f>
        <v>759</v>
      </c>
      <c r="M104">
        <v>1826</v>
      </c>
    </row>
    <row r="105" spans="1:13" x14ac:dyDescent="0.65">
      <c r="A105" s="1">
        <v>42588</v>
      </c>
      <c r="B105">
        <v>75.7</v>
      </c>
      <c r="D105">
        <f t="shared" si="63"/>
        <v>75.7</v>
      </c>
      <c r="E105">
        <f t="shared" si="64"/>
        <v>-6.7000000000000028</v>
      </c>
      <c r="F105">
        <v>2626</v>
      </c>
      <c r="G105">
        <f>216+952</f>
        <v>1168</v>
      </c>
      <c r="H105">
        <f t="shared" si="69"/>
        <v>1458</v>
      </c>
      <c r="I105" s="5">
        <f t="shared" si="68"/>
        <v>1572.2097467749641</v>
      </c>
      <c r="J105" s="5">
        <f t="shared" si="31"/>
        <v>427.37203376333832</v>
      </c>
      <c r="K105" s="5">
        <v>313</v>
      </c>
      <c r="L105">
        <f t="shared" si="71"/>
        <v>717</v>
      </c>
      <c r="M105">
        <v>1885</v>
      </c>
    </row>
    <row r="106" spans="1:13" x14ac:dyDescent="0.65">
      <c r="A106" s="1">
        <v>42589</v>
      </c>
      <c r="B106">
        <v>75.2</v>
      </c>
      <c r="C106">
        <v>73.599999999999994</v>
      </c>
      <c r="D106">
        <f t="shared" si="63"/>
        <v>74.400000000000006</v>
      </c>
      <c r="E106">
        <f t="shared" si="64"/>
        <v>-7.2000000000000028</v>
      </c>
      <c r="F106">
        <v>1871</v>
      </c>
      <c r="G106">
        <f>119+292</f>
        <v>411</v>
      </c>
      <c r="H106">
        <f t="shared" si="69"/>
        <v>1460</v>
      </c>
      <c r="I106" s="5">
        <f t="shared" si="68"/>
        <v>1566.4644051600574</v>
      </c>
      <c r="J106" s="5">
        <f t="shared" si="31"/>
        <v>428.13807931199244</v>
      </c>
      <c r="K106" s="5">
        <v>580</v>
      </c>
      <c r="L106">
        <f t="shared" si="71"/>
        <v>795</v>
      </c>
      <c r="M106">
        <v>1206</v>
      </c>
    </row>
    <row r="107" spans="1:13" x14ac:dyDescent="0.65">
      <c r="A107" s="1">
        <v>42590</v>
      </c>
      <c r="B107">
        <v>74.900000000000006</v>
      </c>
      <c r="D107">
        <f t="shared" si="63"/>
        <v>74.900000000000006</v>
      </c>
      <c r="E107">
        <f t="shared" si="64"/>
        <v>-7.5</v>
      </c>
      <c r="F107">
        <v>2795</v>
      </c>
      <c r="G107">
        <f>72+357+416</f>
        <v>845</v>
      </c>
      <c r="H107">
        <f t="shared" si="69"/>
        <v>1950</v>
      </c>
      <c r="I107" s="5">
        <f t="shared" si="68"/>
        <v>1563.0172001911133</v>
      </c>
      <c r="J107" s="5">
        <f t="shared" si="31"/>
        <v>428.59770664118491</v>
      </c>
      <c r="K107" s="5">
        <v>449</v>
      </c>
      <c r="L107">
        <f t="shared" si="71"/>
        <v>681</v>
      </c>
      <c r="M107">
        <v>1526</v>
      </c>
    </row>
    <row r="108" spans="1:13" x14ac:dyDescent="0.65">
      <c r="A108" s="1">
        <v>42591</v>
      </c>
      <c r="B108">
        <v>75.2</v>
      </c>
      <c r="D108">
        <f t="shared" si="63"/>
        <v>75.2</v>
      </c>
      <c r="E108">
        <f t="shared" si="64"/>
        <v>-7.2000000000000028</v>
      </c>
      <c r="F108">
        <v>1945</v>
      </c>
      <c r="G108">
        <f>119+130+146</f>
        <v>395</v>
      </c>
      <c r="H108">
        <f t="shared" si="69"/>
        <v>1550</v>
      </c>
      <c r="I108" s="5">
        <f t="shared" si="68"/>
        <v>1566.4644051600574</v>
      </c>
      <c r="J108" s="5">
        <f t="shared" si="31"/>
        <v>428.13807931199244</v>
      </c>
      <c r="K108" s="5">
        <v>556</v>
      </c>
      <c r="L108">
        <f t="shared" si="71"/>
        <v>565</v>
      </c>
      <c r="M108">
        <v>960</v>
      </c>
    </row>
    <row r="109" spans="1:13" x14ac:dyDescent="0.65">
      <c r="A109" s="1">
        <v>42592</v>
      </c>
      <c r="B109">
        <v>74.599999999999994</v>
      </c>
      <c r="C109">
        <v>73.5</v>
      </c>
      <c r="D109">
        <f t="shared" si="63"/>
        <v>74.05</v>
      </c>
      <c r="E109">
        <f t="shared" si="64"/>
        <v>-7.8000000000000114</v>
      </c>
      <c r="F109">
        <v>2052</v>
      </c>
      <c r="G109">
        <f>508</f>
        <v>508</v>
      </c>
      <c r="H109">
        <f t="shared" si="69"/>
        <v>1544</v>
      </c>
      <c r="I109" s="5">
        <f t="shared" si="68"/>
        <v>1559.5699952221692</v>
      </c>
      <c r="J109" s="5">
        <f t="shared" si="31"/>
        <v>429.05733397037739</v>
      </c>
      <c r="K109" s="5">
        <v>849</v>
      </c>
      <c r="L109">
        <f t="shared" si="71"/>
        <v>366</v>
      </c>
      <c r="M109">
        <v>874</v>
      </c>
    </row>
    <row r="110" spans="1:13" x14ac:dyDescent="0.65">
      <c r="A110" s="1">
        <v>42593</v>
      </c>
      <c r="B110">
        <v>74.599999999999994</v>
      </c>
      <c r="D110">
        <f t="shared" si="63"/>
        <v>74.599999999999994</v>
      </c>
      <c r="E110">
        <f t="shared" si="64"/>
        <v>-7.8000000000000114</v>
      </c>
      <c r="F110">
        <v>2750</v>
      </c>
      <c r="G110">
        <f>536+191</f>
        <v>727</v>
      </c>
      <c r="H110">
        <f t="shared" si="69"/>
        <v>2023</v>
      </c>
      <c r="I110" s="5">
        <f t="shared" si="68"/>
        <v>1559.5699952221692</v>
      </c>
      <c r="J110" s="5">
        <f t="shared" si="31"/>
        <v>429.05733397037739</v>
      </c>
      <c r="K110" s="5">
        <v>83</v>
      </c>
      <c r="L110">
        <f t="shared" si="71"/>
        <v>660</v>
      </c>
      <c r="M110">
        <v>1387</v>
      </c>
    </row>
    <row r="111" spans="1:13" x14ac:dyDescent="0.65">
      <c r="A111" s="1">
        <v>42594</v>
      </c>
      <c r="B111">
        <v>75.2</v>
      </c>
      <c r="D111">
        <f t="shared" si="63"/>
        <v>75.2</v>
      </c>
      <c r="E111">
        <f t="shared" si="64"/>
        <v>-7.2000000000000028</v>
      </c>
      <c r="F111">
        <v>2180</v>
      </c>
      <c r="G111">
        <f>119+146+88</f>
        <v>353</v>
      </c>
      <c r="H111">
        <f t="shared" si="69"/>
        <v>1827</v>
      </c>
      <c r="I111" s="5">
        <f t="shared" si="68"/>
        <v>1566.4644051600574</v>
      </c>
      <c r="J111" s="5">
        <f t="shared" si="31"/>
        <v>428.13807931199244</v>
      </c>
      <c r="K111" s="5">
        <v>457</v>
      </c>
      <c r="L111">
        <f t="shared" si="71"/>
        <v>518</v>
      </c>
      <c r="M111">
        <v>871</v>
      </c>
    </row>
    <row r="112" spans="1:13" x14ac:dyDescent="0.65">
      <c r="A112" s="1">
        <v>42595</v>
      </c>
      <c r="B112">
        <v>74.7</v>
      </c>
      <c r="C112">
        <v>73.2</v>
      </c>
      <c r="D112">
        <f t="shared" si="63"/>
        <v>73.95</v>
      </c>
      <c r="E112">
        <f t="shared" si="64"/>
        <v>-7.7000000000000028</v>
      </c>
      <c r="F112">
        <v>2426</v>
      </c>
      <c r="G112">
        <f>714</f>
        <v>714</v>
      </c>
      <c r="H112">
        <f t="shared" si="69"/>
        <v>1712</v>
      </c>
      <c r="I112" s="5">
        <f t="shared" si="68"/>
        <v>1560.7190635451504</v>
      </c>
      <c r="J112" s="5">
        <f t="shared" si="31"/>
        <v>428.90412486064679</v>
      </c>
      <c r="K112" s="5">
        <v>708</v>
      </c>
      <c r="L112">
        <f t="shared" si="71"/>
        <v>658</v>
      </c>
      <c r="M112">
        <v>1372</v>
      </c>
    </row>
    <row r="113" spans="1:13" x14ac:dyDescent="0.65">
      <c r="A113" s="1">
        <v>42596</v>
      </c>
      <c r="B113">
        <v>74.3</v>
      </c>
      <c r="D113">
        <f t="shared" si="63"/>
        <v>74.3</v>
      </c>
      <c r="E113">
        <f t="shared" si="64"/>
        <v>-8.1000000000000085</v>
      </c>
      <c r="F113">
        <v>2311</v>
      </c>
      <c r="G113">
        <f>357+130</f>
        <v>487</v>
      </c>
      <c r="H113">
        <f t="shared" si="69"/>
        <v>1824</v>
      </c>
      <c r="I113" s="5">
        <f t="shared" si="68"/>
        <v>1556.122790253225</v>
      </c>
      <c r="J113" s="5">
        <f t="shared" si="31"/>
        <v>429.51696129957008</v>
      </c>
      <c r="K113" s="5">
        <v>198</v>
      </c>
      <c r="L113">
        <f t="shared" si="71"/>
        <v>1168</v>
      </c>
      <c r="M113">
        <v>1655</v>
      </c>
    </row>
    <row r="114" spans="1:13" x14ac:dyDescent="0.65">
      <c r="A114" s="1">
        <v>42597</v>
      </c>
      <c r="B114">
        <v>74.3</v>
      </c>
      <c r="D114">
        <f t="shared" si="63"/>
        <v>74.3</v>
      </c>
      <c r="E114">
        <f t="shared" si="64"/>
        <v>-8.1000000000000085</v>
      </c>
      <c r="F114">
        <v>1965</v>
      </c>
      <c r="G114">
        <f>476</f>
        <v>476</v>
      </c>
      <c r="H114">
        <f t="shared" si="69"/>
        <v>1489</v>
      </c>
      <c r="I114" s="5">
        <f t="shared" si="68"/>
        <v>1556.122790253225</v>
      </c>
      <c r="J114" s="5">
        <f t="shared" si="31"/>
        <v>429.51696129957008</v>
      </c>
      <c r="K114" s="5">
        <v>751</v>
      </c>
      <c r="L114">
        <f t="shared" si="71"/>
        <v>404</v>
      </c>
      <c r="M114">
        <v>880</v>
      </c>
    </row>
    <row r="115" spans="1:13" x14ac:dyDescent="0.65">
      <c r="A115" s="1">
        <v>42598</v>
      </c>
      <c r="B115">
        <v>75.099999999999994</v>
      </c>
      <c r="D115">
        <f t="shared" si="63"/>
        <v>75.099999999999994</v>
      </c>
      <c r="E115">
        <f t="shared" si="64"/>
        <v>-7.3000000000000114</v>
      </c>
      <c r="F115">
        <v>2017</v>
      </c>
      <c r="G115">
        <f>357</f>
        <v>357</v>
      </c>
      <c r="H115">
        <f t="shared" si="69"/>
        <v>1660</v>
      </c>
      <c r="I115" s="5">
        <f t="shared" si="68"/>
        <v>1565.3153368370758</v>
      </c>
      <c r="J115" s="5">
        <f t="shared" si="31"/>
        <v>428.29128842172327</v>
      </c>
      <c r="K115" s="5">
        <v>496</v>
      </c>
      <c r="L115">
        <f t="shared" si="71"/>
        <v>376</v>
      </c>
      <c r="M115">
        <v>733</v>
      </c>
    </row>
    <row r="116" spans="1:13" x14ac:dyDescent="0.65">
      <c r="A116" s="1">
        <v>42599</v>
      </c>
      <c r="B116">
        <v>75.2</v>
      </c>
      <c r="D116">
        <f t="shared" si="63"/>
        <v>75.2</v>
      </c>
      <c r="E116">
        <f t="shared" si="64"/>
        <v>-7.2000000000000028</v>
      </c>
      <c r="F116">
        <v>4778</v>
      </c>
      <c r="G116">
        <f>216+925+595</f>
        <v>1736</v>
      </c>
      <c r="H116">
        <f t="shared" si="69"/>
        <v>3042</v>
      </c>
      <c r="I116" s="5">
        <f t="shared" si="68"/>
        <v>1566.4644051600574</v>
      </c>
      <c r="J116" s="5">
        <f t="shared" si="31"/>
        <v>428.13807931199244</v>
      </c>
      <c r="K116" s="5">
        <v>319</v>
      </c>
      <c r="L116">
        <f t="shared" si="71"/>
        <v>1374</v>
      </c>
      <c r="M116">
        <v>3110</v>
      </c>
    </row>
    <row r="117" spans="1:13" x14ac:dyDescent="0.65">
      <c r="A117" s="1">
        <v>42600</v>
      </c>
      <c r="B117">
        <v>75.099999999999994</v>
      </c>
      <c r="D117">
        <f t="shared" si="63"/>
        <v>75.099999999999994</v>
      </c>
      <c r="E117">
        <f t="shared" si="64"/>
        <v>-7.3000000000000114</v>
      </c>
      <c r="F117">
        <v>1915</v>
      </c>
      <c r="G117">
        <f>146+176</f>
        <v>322</v>
      </c>
      <c r="H117">
        <f t="shared" si="69"/>
        <v>1593</v>
      </c>
      <c r="I117" s="5">
        <f t="shared" si="68"/>
        <v>1565.3153368370758</v>
      </c>
      <c r="J117" s="5">
        <f t="shared" si="31"/>
        <v>428.29128842172327</v>
      </c>
      <c r="K117" s="5">
        <v>127</v>
      </c>
      <c r="L117">
        <f t="shared" si="71"/>
        <v>946</v>
      </c>
      <c r="M117">
        <v>1268</v>
      </c>
    </row>
    <row r="118" spans="1:13" x14ac:dyDescent="0.65">
      <c r="A118" s="1">
        <v>42601</v>
      </c>
      <c r="B118">
        <v>75.400000000000006</v>
      </c>
      <c r="D118">
        <f t="shared" si="63"/>
        <v>75.400000000000006</v>
      </c>
      <c r="E118">
        <f t="shared" si="64"/>
        <v>-7</v>
      </c>
      <c r="F118">
        <v>2448</v>
      </c>
      <c r="G118">
        <f>595</f>
        <v>595</v>
      </c>
      <c r="H118">
        <f t="shared" si="69"/>
        <v>1853</v>
      </c>
      <c r="I118" s="5">
        <f t="shared" si="68"/>
        <v>1568.7625418060202</v>
      </c>
      <c r="J118" s="5">
        <f t="shared" si="31"/>
        <v>427.83166109253057</v>
      </c>
      <c r="K118" s="5">
        <v>858</v>
      </c>
      <c r="L118">
        <f t="shared" si="71"/>
        <v>167</v>
      </c>
      <c r="M118">
        <v>762</v>
      </c>
    </row>
    <row r="119" spans="1:13" x14ac:dyDescent="0.65">
      <c r="A119" s="1">
        <v>42602</v>
      </c>
      <c r="B119">
        <v>74.7</v>
      </c>
      <c r="C119">
        <v>73.7</v>
      </c>
      <c r="D119">
        <f t="shared" si="63"/>
        <v>74.2</v>
      </c>
      <c r="E119">
        <f t="shared" si="64"/>
        <v>-7.7000000000000028</v>
      </c>
      <c r="F119">
        <v>1915</v>
      </c>
      <c r="G119">
        <f>476+131</f>
        <v>607</v>
      </c>
      <c r="H119">
        <f t="shared" si="69"/>
        <v>1308</v>
      </c>
      <c r="I119" s="5">
        <f t="shared" si="68"/>
        <v>1560.7190635451504</v>
      </c>
      <c r="J119" s="5">
        <f t="shared" si="31"/>
        <v>428.90412486064679</v>
      </c>
      <c r="K119" s="5">
        <v>708</v>
      </c>
      <c r="L119">
        <f t="shared" si="71"/>
        <v>628</v>
      </c>
      <c r="M119">
        <v>1235</v>
      </c>
    </row>
    <row r="120" spans="1:13" x14ac:dyDescent="0.65">
      <c r="A120" s="1">
        <v>42603</v>
      </c>
      <c r="B120">
        <v>74.099999999999994</v>
      </c>
      <c r="D120">
        <f t="shared" si="63"/>
        <v>74.099999999999994</v>
      </c>
      <c r="E120">
        <f t="shared" si="64"/>
        <v>-8.3000000000000114</v>
      </c>
      <c r="F120">
        <v>1939</v>
      </c>
      <c r="G120">
        <f>254+352</f>
        <v>606</v>
      </c>
      <c r="H120">
        <f t="shared" si="69"/>
        <v>1333</v>
      </c>
      <c r="I120" s="5">
        <f t="shared" ref="I120:I140" si="72">((0.1238+(0.0481*B120+(0.0234*175)-(0.0138*53)-0.5473*1))*1000/4.186)</f>
        <v>1553.8246536072625</v>
      </c>
      <c r="J120" s="5">
        <f t="shared" si="31"/>
        <v>429.82337951903173</v>
      </c>
      <c r="K120" s="5">
        <v>398</v>
      </c>
      <c r="L120">
        <f t="shared" si="71"/>
        <v>552</v>
      </c>
      <c r="M120">
        <v>1158</v>
      </c>
    </row>
    <row r="121" spans="1:13" x14ac:dyDescent="0.65">
      <c r="A121" s="1">
        <v>42604</v>
      </c>
      <c r="B121">
        <v>74.900000000000006</v>
      </c>
      <c r="D121">
        <f t="shared" si="63"/>
        <v>74.900000000000006</v>
      </c>
      <c r="E121">
        <f t="shared" si="64"/>
        <v>-7.5</v>
      </c>
      <c r="F121">
        <v>2175</v>
      </c>
      <c r="G121">
        <f>36+176+476</f>
        <v>688</v>
      </c>
      <c r="H121">
        <f t="shared" si="69"/>
        <v>1487</v>
      </c>
      <c r="I121" s="5">
        <f t="shared" si="72"/>
        <v>1563.0172001911133</v>
      </c>
      <c r="J121" s="5">
        <f t="shared" si="31"/>
        <v>428.59770664118491</v>
      </c>
      <c r="K121" s="5">
        <v>311</v>
      </c>
      <c r="L121">
        <f t="shared" si="71"/>
        <v>594</v>
      </c>
      <c r="M121">
        <v>1282</v>
      </c>
    </row>
    <row r="122" spans="1:13" x14ac:dyDescent="0.65">
      <c r="A122" s="1">
        <v>42605</v>
      </c>
      <c r="B122">
        <v>74.099999999999994</v>
      </c>
      <c r="D122">
        <f t="shared" si="63"/>
        <v>74.099999999999994</v>
      </c>
      <c r="E122">
        <f t="shared" si="64"/>
        <v>-8.3000000000000114</v>
      </c>
      <c r="F122">
        <v>1984</v>
      </c>
      <c r="G122">
        <f>238+219</f>
        <v>457</v>
      </c>
      <c r="H122">
        <f t="shared" si="69"/>
        <v>1527</v>
      </c>
      <c r="I122" s="5">
        <f t="shared" si="72"/>
        <v>1553.8246536072625</v>
      </c>
      <c r="J122" s="5">
        <f t="shared" si="31"/>
        <v>429.82337951903173</v>
      </c>
      <c r="K122" s="5">
        <v>222</v>
      </c>
      <c r="L122">
        <f t="shared" si="71"/>
        <v>655</v>
      </c>
      <c r="M122">
        <v>1112</v>
      </c>
    </row>
    <row r="123" spans="1:13" x14ac:dyDescent="0.65">
      <c r="A123" s="1">
        <v>42606</v>
      </c>
      <c r="B123">
        <v>75</v>
      </c>
      <c r="D123">
        <f t="shared" si="63"/>
        <v>75</v>
      </c>
      <c r="E123">
        <f t="shared" si="64"/>
        <v>-7.4000000000000057</v>
      </c>
      <c r="F123">
        <v>2594</v>
      </c>
      <c r="G123">
        <f>800+281</f>
        <v>1081</v>
      </c>
      <c r="H123">
        <f t="shared" si="69"/>
        <v>1513</v>
      </c>
      <c r="I123" s="5">
        <f t="shared" si="72"/>
        <v>1564.1662685140948</v>
      </c>
      <c r="J123" s="5">
        <f t="shared" si="31"/>
        <v>428.44449753145409</v>
      </c>
      <c r="K123" s="5">
        <v>214</v>
      </c>
      <c r="L123">
        <f t="shared" si="71"/>
        <v>448</v>
      </c>
      <c r="M123">
        <v>1529</v>
      </c>
    </row>
    <row r="124" spans="1:13" x14ac:dyDescent="0.65">
      <c r="A124" s="1">
        <v>42607</v>
      </c>
      <c r="B124">
        <v>75</v>
      </c>
      <c r="D124">
        <f t="shared" si="63"/>
        <v>75</v>
      </c>
      <c r="E124">
        <f t="shared" si="64"/>
        <v>-7.4000000000000057</v>
      </c>
      <c r="F124">
        <v>2538</v>
      </c>
      <c r="G124">
        <f>119+555+104</f>
        <v>778</v>
      </c>
      <c r="H124">
        <f t="shared" si="69"/>
        <v>1760</v>
      </c>
      <c r="I124" s="5">
        <f t="shared" si="72"/>
        <v>1564.1662685140948</v>
      </c>
      <c r="J124" s="5">
        <f t="shared" si="31"/>
        <v>428.44449753145409</v>
      </c>
      <c r="K124" s="5">
        <v>190</v>
      </c>
      <c r="L124">
        <f t="shared" si="71"/>
        <v>295</v>
      </c>
      <c r="M124">
        <f>925+148</f>
        <v>1073</v>
      </c>
    </row>
    <row r="125" spans="1:13" x14ac:dyDescent="0.65">
      <c r="A125" s="1">
        <v>42608</v>
      </c>
      <c r="B125">
        <v>74.400000000000006</v>
      </c>
      <c r="D125">
        <f t="shared" si="63"/>
        <v>74.400000000000006</v>
      </c>
      <c r="E125">
        <f t="shared" si="64"/>
        <v>-8</v>
      </c>
      <c r="F125">
        <v>2258</v>
      </c>
      <c r="G125">
        <f>200+476</f>
        <v>676</v>
      </c>
      <c r="H125">
        <f t="shared" si="69"/>
        <v>1582</v>
      </c>
      <c r="I125" s="5">
        <f t="shared" si="72"/>
        <v>1557.2718585762063</v>
      </c>
      <c r="J125" s="5">
        <f t="shared" si="31"/>
        <v>429.36375218983926</v>
      </c>
      <c r="K125" s="5">
        <v>192</v>
      </c>
      <c r="L125">
        <f t="shared" si="71"/>
        <v>607</v>
      </c>
      <c r="M125">
        <v>1283</v>
      </c>
    </row>
    <row r="126" spans="1:13" x14ac:dyDescent="0.65">
      <c r="A126" s="1">
        <v>42609</v>
      </c>
      <c r="B126">
        <v>74.7</v>
      </c>
      <c r="C126">
        <v>73.900000000000006</v>
      </c>
      <c r="D126">
        <f t="shared" si="63"/>
        <v>74.300000000000011</v>
      </c>
      <c r="E126">
        <f t="shared" si="64"/>
        <v>-7.7000000000000028</v>
      </c>
      <c r="F126">
        <v>2142</v>
      </c>
      <c r="G126">
        <f>238+150+357</f>
        <v>745</v>
      </c>
      <c r="H126">
        <f t="shared" si="69"/>
        <v>1397</v>
      </c>
      <c r="I126" s="5">
        <f t="shared" si="72"/>
        <v>1560.7190635451504</v>
      </c>
      <c r="J126" s="5">
        <f t="shared" si="31"/>
        <v>428.90412486064679</v>
      </c>
      <c r="K126" s="5">
        <v>604</v>
      </c>
      <c r="L126">
        <f t="shared" si="71"/>
        <v>915</v>
      </c>
      <c r="M126">
        <f>1088+572</f>
        <v>1660</v>
      </c>
    </row>
    <row r="127" spans="1:13" x14ac:dyDescent="0.65">
      <c r="A127" s="11">
        <v>42610</v>
      </c>
      <c r="B127" s="12">
        <v>74.099999999999994</v>
      </c>
      <c r="C127" s="12"/>
      <c r="D127" s="12">
        <f t="shared" si="63"/>
        <v>74.099999999999994</v>
      </c>
      <c r="E127" s="12">
        <f t="shared" si="64"/>
        <v>-8.3000000000000114</v>
      </c>
      <c r="F127">
        <v>1971</v>
      </c>
      <c r="G127">
        <v>476</v>
      </c>
      <c r="H127">
        <f t="shared" si="69"/>
        <v>1495</v>
      </c>
      <c r="I127" s="5">
        <f t="shared" si="72"/>
        <v>1553.8246536072625</v>
      </c>
      <c r="J127" s="5">
        <f t="shared" si="31"/>
        <v>429.82337951903173</v>
      </c>
      <c r="K127" s="5">
        <v>429</v>
      </c>
      <c r="L127">
        <f t="shared" si="71"/>
        <v>639</v>
      </c>
      <c r="M127">
        <v>1115</v>
      </c>
    </row>
    <row r="128" spans="1:13" x14ac:dyDescent="0.65">
      <c r="A128" s="1">
        <v>42611</v>
      </c>
      <c r="B128">
        <v>74.099999999999994</v>
      </c>
      <c r="D128">
        <f t="shared" si="63"/>
        <v>74.099999999999994</v>
      </c>
      <c r="E128">
        <f t="shared" si="64"/>
        <v>-8.3000000000000114</v>
      </c>
      <c r="F128">
        <v>2285</v>
      </c>
      <c r="G128">
        <f>144+416</f>
        <v>560</v>
      </c>
      <c r="H128">
        <f t="shared" si="69"/>
        <v>1725</v>
      </c>
      <c r="I128" s="5">
        <f t="shared" si="72"/>
        <v>1553.8246536072625</v>
      </c>
      <c r="J128" s="5">
        <f t="shared" si="31"/>
        <v>429.82337951903173</v>
      </c>
      <c r="K128" s="5">
        <v>224</v>
      </c>
      <c r="L128">
        <f t="shared" si="71"/>
        <v>838</v>
      </c>
      <c r="M128">
        <v>1398</v>
      </c>
    </row>
    <row r="129" spans="1:13" x14ac:dyDescent="0.65">
      <c r="A129" s="1">
        <v>42612</v>
      </c>
      <c r="B129">
        <v>74.099999999999994</v>
      </c>
      <c r="D129">
        <f t="shared" si="63"/>
        <v>74.099999999999994</v>
      </c>
      <c r="E129">
        <f t="shared" si="64"/>
        <v>-8.3000000000000114</v>
      </c>
      <c r="F129">
        <v>2632</v>
      </c>
      <c r="G129">
        <f>762+88</f>
        <v>850</v>
      </c>
      <c r="H129">
        <f t="shared" si="69"/>
        <v>1782</v>
      </c>
      <c r="I129" s="5">
        <f t="shared" si="72"/>
        <v>1553.8246536072625</v>
      </c>
      <c r="J129" s="5">
        <f t="shared" si="31"/>
        <v>429.82337951903173</v>
      </c>
      <c r="K129" s="5">
        <v>324</v>
      </c>
      <c r="L129">
        <f t="shared" si="71"/>
        <v>1089</v>
      </c>
      <c r="M129">
        <v>1939</v>
      </c>
    </row>
    <row r="130" spans="1:13" x14ac:dyDescent="0.65">
      <c r="A130" s="1">
        <v>42613</v>
      </c>
      <c r="B130">
        <v>74.099999999999994</v>
      </c>
      <c r="D130">
        <f t="shared" si="63"/>
        <v>74.099999999999994</v>
      </c>
      <c r="E130">
        <f t="shared" si="64"/>
        <v>-8.3000000000000114</v>
      </c>
      <c r="F130">
        <v>2001</v>
      </c>
      <c r="G130">
        <f>119+370</f>
        <v>489</v>
      </c>
      <c r="H130">
        <f t="shared" si="69"/>
        <v>1512</v>
      </c>
      <c r="I130" s="5">
        <f t="shared" si="72"/>
        <v>1553.8246536072625</v>
      </c>
      <c r="J130" s="5">
        <f t="shared" si="31"/>
        <v>429.82337951903173</v>
      </c>
      <c r="K130" s="5">
        <v>271</v>
      </c>
      <c r="L130">
        <f t="shared" si="71"/>
        <v>637</v>
      </c>
      <c r="M130">
        <v>1126</v>
      </c>
    </row>
    <row r="131" spans="1:13" x14ac:dyDescent="0.65">
      <c r="A131" s="1">
        <v>42614</v>
      </c>
      <c r="B131">
        <v>74.099999999999994</v>
      </c>
      <c r="D131">
        <f t="shared" si="63"/>
        <v>74.099999999999994</v>
      </c>
      <c r="E131">
        <f t="shared" si="64"/>
        <v>-8.3000000000000114</v>
      </c>
      <c r="F131">
        <v>2596</v>
      </c>
      <c r="G131">
        <f>453+238</f>
        <v>691</v>
      </c>
      <c r="H131">
        <f t="shared" si="69"/>
        <v>1905</v>
      </c>
      <c r="I131" s="5">
        <f t="shared" si="72"/>
        <v>1553.8246536072625</v>
      </c>
      <c r="J131" s="5">
        <f t="shared" ref="J131:J194" si="73">1911+(I131*1.3-1911)*2/3-I131</f>
        <v>429.82337951903173</v>
      </c>
      <c r="K131" s="5">
        <v>204</v>
      </c>
      <c r="L131">
        <f t="shared" si="71"/>
        <v>680</v>
      </c>
      <c r="M131">
        <v>1371</v>
      </c>
    </row>
    <row r="132" spans="1:13" x14ac:dyDescent="0.65">
      <c r="A132" s="1">
        <v>42615</v>
      </c>
      <c r="B132">
        <v>74.099999999999994</v>
      </c>
      <c r="D132">
        <f t="shared" si="63"/>
        <v>74.099999999999994</v>
      </c>
      <c r="E132">
        <f t="shared" si="64"/>
        <v>-8.3000000000000114</v>
      </c>
      <c r="F132">
        <v>2413</v>
      </c>
      <c r="G132">
        <f>185+238+104</f>
        <v>527</v>
      </c>
      <c r="H132">
        <f t="shared" si="69"/>
        <v>1886</v>
      </c>
      <c r="I132" s="5">
        <f t="shared" si="72"/>
        <v>1553.8246536072625</v>
      </c>
      <c r="J132" s="5">
        <f t="shared" si="73"/>
        <v>429.82337951903173</v>
      </c>
      <c r="K132" s="5">
        <v>206</v>
      </c>
      <c r="L132">
        <f t="shared" si="71"/>
        <v>867</v>
      </c>
      <c r="M132">
        <f>1135+259</f>
        <v>1394</v>
      </c>
    </row>
    <row r="133" spans="1:13" x14ac:dyDescent="0.65">
      <c r="A133" s="1">
        <v>42616</v>
      </c>
      <c r="B133">
        <v>74.099999999999994</v>
      </c>
      <c r="C133">
        <v>72.8</v>
      </c>
      <c r="D133">
        <f t="shared" si="63"/>
        <v>73.449999999999989</v>
      </c>
      <c r="E133">
        <f t="shared" si="64"/>
        <v>-8.3000000000000114</v>
      </c>
      <c r="F133">
        <v>2212</v>
      </c>
      <c r="G133">
        <f>476</f>
        <v>476</v>
      </c>
      <c r="H133">
        <f t="shared" si="69"/>
        <v>1736</v>
      </c>
      <c r="I133" s="5">
        <f t="shared" si="72"/>
        <v>1553.8246536072625</v>
      </c>
      <c r="J133" s="5">
        <f t="shared" si="73"/>
        <v>429.82337951903173</v>
      </c>
      <c r="K133" s="5">
        <v>706</v>
      </c>
      <c r="L133">
        <f t="shared" si="71"/>
        <v>1083</v>
      </c>
      <c r="M133">
        <v>1559</v>
      </c>
    </row>
    <row r="134" spans="1:13" x14ac:dyDescent="0.65">
      <c r="A134" s="1">
        <v>42617</v>
      </c>
      <c r="B134">
        <v>73.7</v>
      </c>
      <c r="D134">
        <f t="shared" si="63"/>
        <v>73.7</v>
      </c>
      <c r="E134">
        <f t="shared" si="64"/>
        <v>-8.7000000000000028</v>
      </c>
      <c r="F134">
        <v>2441</v>
      </c>
      <c r="G134">
        <f>453</f>
        <v>453</v>
      </c>
      <c r="H134">
        <f t="shared" si="69"/>
        <v>1988</v>
      </c>
      <c r="I134" s="5">
        <f t="shared" si="72"/>
        <v>1549.2283803153371</v>
      </c>
      <c r="J134" s="5">
        <f t="shared" si="73"/>
        <v>430.43621595795503</v>
      </c>
      <c r="K134" s="5">
        <v>380</v>
      </c>
      <c r="L134">
        <f t="shared" si="71"/>
        <v>459</v>
      </c>
      <c r="M134">
        <v>912</v>
      </c>
    </row>
    <row r="135" spans="1:13" x14ac:dyDescent="0.65">
      <c r="A135" s="1">
        <v>42618</v>
      </c>
      <c r="B135">
        <v>73.7</v>
      </c>
      <c r="D135">
        <f t="shared" si="63"/>
        <v>73.7</v>
      </c>
      <c r="E135">
        <f t="shared" si="64"/>
        <v>-8.7000000000000028</v>
      </c>
      <c r="F135">
        <v>2164</v>
      </c>
      <c r="G135">
        <f>238+117</f>
        <v>355</v>
      </c>
      <c r="H135">
        <f t="shared" si="69"/>
        <v>1809</v>
      </c>
      <c r="I135" s="5">
        <f t="shared" si="72"/>
        <v>1549.2283803153371</v>
      </c>
      <c r="J135" s="5">
        <f t="shared" si="73"/>
        <v>430.43621595795503</v>
      </c>
      <c r="K135" s="5">
        <v>390</v>
      </c>
      <c r="L135">
        <f t="shared" si="71"/>
        <v>629</v>
      </c>
      <c r="M135">
        <v>984</v>
      </c>
    </row>
    <row r="136" spans="1:13" x14ac:dyDescent="0.65">
      <c r="A136" s="1">
        <v>42619</v>
      </c>
      <c r="B136">
        <v>74</v>
      </c>
      <c r="D136">
        <f t="shared" si="63"/>
        <v>74</v>
      </c>
      <c r="E136">
        <f t="shared" si="64"/>
        <v>-8.4000000000000057</v>
      </c>
      <c r="F136">
        <v>3026</v>
      </c>
      <c r="G136">
        <f>216+714</f>
        <v>930</v>
      </c>
      <c r="H136">
        <f t="shared" si="69"/>
        <v>2096</v>
      </c>
      <c r="I136" s="5">
        <f t="shared" si="72"/>
        <v>1552.6755852842807</v>
      </c>
      <c r="J136" s="5">
        <f t="shared" si="73"/>
        <v>429.97658862876256</v>
      </c>
      <c r="K136" s="5">
        <v>251</v>
      </c>
      <c r="L136">
        <f t="shared" si="71"/>
        <v>1044</v>
      </c>
      <c r="M136">
        <v>1974</v>
      </c>
    </row>
    <row r="137" spans="1:13" x14ac:dyDescent="0.65">
      <c r="A137" s="1">
        <v>42620</v>
      </c>
      <c r="B137">
        <v>74.7</v>
      </c>
      <c r="D137">
        <f t="shared" si="63"/>
        <v>74.7</v>
      </c>
      <c r="E137">
        <f t="shared" si="64"/>
        <v>-7.7000000000000028</v>
      </c>
      <c r="F137">
        <v>2071</v>
      </c>
      <c r="G137">
        <f>238+438</f>
        <v>676</v>
      </c>
      <c r="H137">
        <f t="shared" si="69"/>
        <v>1395</v>
      </c>
      <c r="I137" s="5">
        <f t="shared" si="72"/>
        <v>1560.7190635451504</v>
      </c>
      <c r="J137" s="5">
        <f t="shared" si="73"/>
        <v>428.90412486064679</v>
      </c>
      <c r="K137" s="5">
        <v>355</v>
      </c>
      <c r="L137">
        <f t="shared" si="71"/>
        <v>659</v>
      </c>
      <c r="M137">
        <v>1335</v>
      </c>
    </row>
    <row r="138" spans="1:13" x14ac:dyDescent="0.65">
      <c r="A138" s="1">
        <v>42621</v>
      </c>
      <c r="B138">
        <v>74.7</v>
      </c>
      <c r="D138">
        <f t="shared" si="63"/>
        <v>74.7</v>
      </c>
      <c r="E138">
        <f t="shared" si="64"/>
        <v>-7.7000000000000028</v>
      </c>
      <c r="F138">
        <v>1896</v>
      </c>
      <c r="G138">
        <f>119+263</f>
        <v>382</v>
      </c>
      <c r="H138">
        <f t="shared" si="69"/>
        <v>1514</v>
      </c>
      <c r="I138" s="5">
        <f t="shared" si="72"/>
        <v>1560.7190635451504</v>
      </c>
      <c r="J138" s="5">
        <f t="shared" si="73"/>
        <v>428.90412486064679</v>
      </c>
      <c r="K138" s="5">
        <v>304</v>
      </c>
      <c r="L138">
        <f t="shared" si="71"/>
        <v>626</v>
      </c>
      <c r="M138">
        <v>1008</v>
      </c>
    </row>
    <row r="139" spans="1:13" x14ac:dyDescent="0.65">
      <c r="A139" s="1">
        <v>42622</v>
      </c>
      <c r="B139">
        <v>74.099999999999994</v>
      </c>
      <c r="D139">
        <f t="shared" si="63"/>
        <v>74.099999999999994</v>
      </c>
      <c r="E139">
        <f t="shared" si="64"/>
        <v>-8.3000000000000114</v>
      </c>
      <c r="F139">
        <v>1961</v>
      </c>
      <c r="G139">
        <f>72+119+315</f>
        <v>506</v>
      </c>
      <c r="H139">
        <f t="shared" si="69"/>
        <v>1455</v>
      </c>
      <c r="I139" s="5">
        <f t="shared" si="72"/>
        <v>1553.8246536072625</v>
      </c>
      <c r="J139" s="5">
        <f t="shared" si="73"/>
        <v>429.82337951903173</v>
      </c>
      <c r="K139" s="5">
        <v>414</v>
      </c>
      <c r="L139">
        <f t="shared" si="71"/>
        <v>482</v>
      </c>
      <c r="M139">
        <v>988</v>
      </c>
    </row>
    <row r="140" spans="1:13" x14ac:dyDescent="0.65">
      <c r="A140" s="1">
        <v>42623</v>
      </c>
      <c r="B140">
        <v>74.099999999999994</v>
      </c>
      <c r="C140">
        <v>73</v>
      </c>
      <c r="D140">
        <f t="shared" si="63"/>
        <v>73.55</v>
      </c>
      <c r="E140">
        <f t="shared" si="64"/>
        <v>-8.3000000000000114</v>
      </c>
      <c r="F140">
        <v>2229</v>
      </c>
      <c r="G140">
        <f>238+124</f>
        <v>362</v>
      </c>
      <c r="H140">
        <f t="shared" si="69"/>
        <v>1867</v>
      </c>
      <c r="I140" s="5">
        <f t="shared" si="72"/>
        <v>1553.8246536072625</v>
      </c>
      <c r="J140" s="5">
        <f t="shared" si="73"/>
        <v>429.82337951903173</v>
      </c>
      <c r="K140" s="5">
        <v>673</v>
      </c>
      <c r="L140">
        <f t="shared" si="71"/>
        <v>886</v>
      </c>
      <c r="M140">
        <v>1248</v>
      </c>
    </row>
    <row r="141" spans="1:13" x14ac:dyDescent="0.65">
      <c r="A141" s="1">
        <v>42624</v>
      </c>
      <c r="B141">
        <v>74.099999999999994</v>
      </c>
      <c r="D141">
        <f t="shared" ref="D141:D152" si="74">IF(C141=0,B141,(B141+C141)/2)</f>
        <v>74.099999999999994</v>
      </c>
      <c r="E141">
        <f t="shared" ref="E141:E152" si="75">B141-$B$2</f>
        <v>-8.3000000000000114</v>
      </c>
      <c r="F141">
        <v>1968</v>
      </c>
      <c r="G141">
        <f>476+117+73</f>
        <v>666</v>
      </c>
      <c r="H141">
        <f t="shared" si="69"/>
        <v>1302</v>
      </c>
      <c r="I141" s="5">
        <f t="shared" ref="I141:I200" si="76">((0.1238+(0.0481*B141+(0.0234*175)-(0.0138*53)-0.5473*1))*1000/4.186)</f>
        <v>1553.8246536072625</v>
      </c>
      <c r="J141" s="5">
        <f t="shared" si="73"/>
        <v>429.82337951903173</v>
      </c>
      <c r="K141" s="5">
        <v>206</v>
      </c>
      <c r="L141">
        <f t="shared" si="71"/>
        <v>719</v>
      </c>
      <c r="M141">
        <v>1385</v>
      </c>
    </row>
    <row r="142" spans="1:13" x14ac:dyDescent="0.65">
      <c r="A142" s="1">
        <v>42625</v>
      </c>
      <c r="B142">
        <v>74.099999999999994</v>
      </c>
      <c r="D142">
        <f t="shared" si="74"/>
        <v>74.099999999999994</v>
      </c>
      <c r="E142">
        <f t="shared" si="75"/>
        <v>-8.3000000000000114</v>
      </c>
      <c r="F142">
        <v>1884</v>
      </c>
      <c r="G142">
        <f>238+219</f>
        <v>457</v>
      </c>
      <c r="H142">
        <f t="shared" si="69"/>
        <v>1427</v>
      </c>
      <c r="I142" s="5">
        <f t="shared" si="76"/>
        <v>1553.8246536072625</v>
      </c>
      <c r="J142" s="5">
        <f t="shared" si="73"/>
        <v>429.82337951903173</v>
      </c>
      <c r="K142" s="5">
        <v>262</v>
      </c>
      <c r="L142">
        <f t="shared" si="71"/>
        <v>647</v>
      </c>
      <c r="M142">
        <v>1104</v>
      </c>
    </row>
    <row r="143" spans="1:13" x14ac:dyDescent="0.65">
      <c r="A143" s="1">
        <v>42626</v>
      </c>
      <c r="B143">
        <v>73.5</v>
      </c>
      <c r="D143">
        <f t="shared" si="74"/>
        <v>73.5</v>
      </c>
      <c r="E143">
        <f t="shared" si="75"/>
        <v>-8.9000000000000057</v>
      </c>
      <c r="F143">
        <v>1677</v>
      </c>
      <c r="G143">
        <f>119+259</f>
        <v>378</v>
      </c>
      <c r="H143">
        <f t="shared" si="69"/>
        <v>1299</v>
      </c>
      <c r="I143" s="5">
        <f t="shared" si="76"/>
        <v>1546.9302436693742</v>
      </c>
      <c r="J143" s="5">
        <f t="shared" si="73"/>
        <v>430.7426341774169</v>
      </c>
      <c r="K143" s="5">
        <v>253</v>
      </c>
      <c r="L143">
        <f t="shared" si="71"/>
        <v>412</v>
      </c>
      <c r="M143">
        <v>790</v>
      </c>
    </row>
    <row r="144" spans="1:13" x14ac:dyDescent="0.65">
      <c r="A144" s="1">
        <v>42627</v>
      </c>
      <c r="B144">
        <v>73.5</v>
      </c>
      <c r="D144">
        <f t="shared" si="74"/>
        <v>73.5</v>
      </c>
      <c r="E144">
        <f t="shared" si="75"/>
        <v>-8.9000000000000057</v>
      </c>
      <c r="F144">
        <v>2260</v>
      </c>
      <c r="G144">
        <f>357+292</f>
        <v>649</v>
      </c>
      <c r="H144">
        <f t="shared" si="69"/>
        <v>1611</v>
      </c>
      <c r="I144" s="5">
        <f t="shared" si="76"/>
        <v>1546.9302436693742</v>
      </c>
      <c r="J144" s="5">
        <f t="shared" si="73"/>
        <v>430.7426341774169</v>
      </c>
      <c r="K144" s="5">
        <v>294</v>
      </c>
      <c r="L144">
        <f t="shared" si="71"/>
        <v>418</v>
      </c>
      <c r="M144">
        <v>1067</v>
      </c>
    </row>
    <row r="145" spans="1:13" x14ac:dyDescent="0.65">
      <c r="A145" s="1">
        <v>42628</v>
      </c>
      <c r="B145">
        <v>73.5</v>
      </c>
      <c r="D145">
        <f t="shared" si="74"/>
        <v>73.5</v>
      </c>
      <c r="E145">
        <f t="shared" si="75"/>
        <v>-8.9000000000000057</v>
      </c>
      <c r="F145">
        <v>2829</v>
      </c>
      <c r="G145">
        <f>714+312</f>
        <v>1026</v>
      </c>
      <c r="H145">
        <f t="shared" si="69"/>
        <v>1803</v>
      </c>
      <c r="I145" s="5">
        <f t="shared" si="76"/>
        <v>1546.9302436693742</v>
      </c>
      <c r="J145" s="5">
        <f t="shared" si="73"/>
        <v>430.7426341774169</v>
      </c>
      <c r="K145" s="5">
        <v>276</v>
      </c>
      <c r="L145">
        <f t="shared" si="71"/>
        <v>571</v>
      </c>
      <c r="M145">
        <v>1597</v>
      </c>
    </row>
    <row r="146" spans="1:13" x14ac:dyDescent="0.65">
      <c r="A146" s="1">
        <v>42629</v>
      </c>
      <c r="B146">
        <v>73.5</v>
      </c>
      <c r="D146">
        <f t="shared" si="74"/>
        <v>73.5</v>
      </c>
      <c r="E146">
        <f t="shared" si="75"/>
        <v>-8.9000000000000057</v>
      </c>
      <c r="F146">
        <v>2093</v>
      </c>
      <c r="G146">
        <f>238+389+208</f>
        <v>835</v>
      </c>
      <c r="H146">
        <f t="shared" si="69"/>
        <v>1258</v>
      </c>
      <c r="I146" s="5">
        <f t="shared" si="76"/>
        <v>1546.9302436693742</v>
      </c>
      <c r="J146" s="5">
        <f t="shared" si="73"/>
        <v>430.7426341774169</v>
      </c>
      <c r="K146" s="5">
        <v>330</v>
      </c>
      <c r="L146">
        <f t="shared" si="71"/>
        <v>437</v>
      </c>
      <c r="M146">
        <v>1272</v>
      </c>
    </row>
    <row r="147" spans="1:13" x14ac:dyDescent="0.65">
      <c r="A147" s="1">
        <v>42630</v>
      </c>
      <c r="B147">
        <v>73.5</v>
      </c>
      <c r="D147">
        <f t="shared" si="74"/>
        <v>73.5</v>
      </c>
      <c r="E147">
        <f t="shared" si="75"/>
        <v>-8.9000000000000057</v>
      </c>
      <c r="F147">
        <v>2825</v>
      </c>
      <c r="G147">
        <f>200+238+381+476</f>
        <v>1295</v>
      </c>
      <c r="H147">
        <f t="shared" si="69"/>
        <v>1530</v>
      </c>
      <c r="I147" s="5">
        <f t="shared" si="76"/>
        <v>1546.9302436693742</v>
      </c>
      <c r="J147" s="5">
        <f t="shared" si="73"/>
        <v>430.7426341774169</v>
      </c>
      <c r="K147" s="5">
        <v>251</v>
      </c>
      <c r="L147">
        <f t="shared" si="71"/>
        <v>575</v>
      </c>
      <c r="M147">
        <f>1360+510</f>
        <v>1870</v>
      </c>
    </row>
    <row r="148" spans="1:13" x14ac:dyDescent="0.65">
      <c r="A148" s="1">
        <v>42631</v>
      </c>
      <c r="B148">
        <v>72.7</v>
      </c>
      <c r="C148">
        <v>72.2</v>
      </c>
      <c r="D148">
        <f t="shared" si="74"/>
        <v>72.45</v>
      </c>
      <c r="E148">
        <f t="shared" si="75"/>
        <v>-9.7000000000000028</v>
      </c>
      <c r="F148">
        <v>2157</v>
      </c>
      <c r="G148">
        <f>119+185+131</f>
        <v>435</v>
      </c>
      <c r="H148">
        <f t="shared" si="69"/>
        <v>1722</v>
      </c>
      <c r="I148" s="5">
        <f t="shared" si="76"/>
        <v>1537.7376970855232</v>
      </c>
      <c r="J148" s="5">
        <f t="shared" si="73"/>
        <v>431.96830705526372</v>
      </c>
      <c r="K148" s="5">
        <v>434</v>
      </c>
      <c r="L148">
        <f t="shared" si="71"/>
        <v>1034</v>
      </c>
      <c r="M148">
        <f>1469</f>
        <v>1469</v>
      </c>
    </row>
    <row r="149" spans="1:13" x14ac:dyDescent="0.65">
      <c r="A149" s="11">
        <v>42632</v>
      </c>
      <c r="B149" s="12">
        <v>72.2</v>
      </c>
      <c r="C149" s="12"/>
      <c r="D149" s="12">
        <f t="shared" si="74"/>
        <v>72.2</v>
      </c>
      <c r="E149" s="19">
        <f t="shared" si="75"/>
        <v>-10.200000000000003</v>
      </c>
      <c r="F149">
        <v>2612</v>
      </c>
      <c r="G149">
        <f>151+453</f>
        <v>604</v>
      </c>
      <c r="H149">
        <f t="shared" si="69"/>
        <v>2008</v>
      </c>
      <c r="I149" s="5">
        <f t="shared" si="76"/>
        <v>1531.9923554706163</v>
      </c>
      <c r="J149" s="5">
        <f t="shared" si="73"/>
        <v>432.73435260391784</v>
      </c>
      <c r="K149" s="5">
        <v>134</v>
      </c>
      <c r="L149">
        <f t="shared" si="71"/>
        <v>647</v>
      </c>
      <c r="M149">
        <v>1251</v>
      </c>
    </row>
    <row r="150" spans="1:13" x14ac:dyDescent="0.65">
      <c r="A150" s="1">
        <v>42633</v>
      </c>
      <c r="B150">
        <v>73</v>
      </c>
      <c r="D150">
        <f t="shared" si="74"/>
        <v>73</v>
      </c>
      <c r="E150">
        <f t="shared" si="75"/>
        <v>-9.4000000000000057</v>
      </c>
      <c r="F150">
        <v>2572</v>
      </c>
      <c r="G150">
        <f>238+292</f>
        <v>530</v>
      </c>
      <c r="H150">
        <f t="shared" si="69"/>
        <v>2042</v>
      </c>
      <c r="I150" s="5">
        <f t="shared" si="76"/>
        <v>1541.1849020544671</v>
      </c>
      <c r="J150" s="5">
        <f t="shared" si="73"/>
        <v>431.50867972607102</v>
      </c>
      <c r="K150" s="5">
        <v>300</v>
      </c>
      <c r="L150">
        <f t="shared" si="71"/>
        <v>484</v>
      </c>
      <c r="M150">
        <v>1014</v>
      </c>
    </row>
    <row r="151" spans="1:13" x14ac:dyDescent="0.65">
      <c r="A151" s="1">
        <v>42634</v>
      </c>
      <c r="B151">
        <v>74.2</v>
      </c>
      <c r="D151">
        <f t="shared" si="74"/>
        <v>74.2</v>
      </c>
      <c r="E151">
        <f t="shared" si="75"/>
        <v>-8.2000000000000028</v>
      </c>
      <c r="F151">
        <v>2274</v>
      </c>
      <c r="G151">
        <f>357+259</f>
        <v>616</v>
      </c>
      <c r="H151">
        <f t="shared" si="69"/>
        <v>1658</v>
      </c>
      <c r="I151" s="5">
        <f t="shared" si="76"/>
        <v>1554.9737219302438</v>
      </c>
      <c r="J151" s="5">
        <f t="shared" si="73"/>
        <v>429.67017040930091</v>
      </c>
      <c r="K151" s="5">
        <v>237</v>
      </c>
      <c r="L151">
        <f t="shared" si="71"/>
        <v>520</v>
      </c>
      <c r="M151">
        <v>1136</v>
      </c>
    </row>
    <row r="152" spans="1:13" x14ac:dyDescent="0.65">
      <c r="A152" s="1">
        <v>42635</v>
      </c>
      <c r="B152">
        <v>74.3</v>
      </c>
      <c r="C152">
        <v>73.900000000000006</v>
      </c>
      <c r="D152">
        <f t="shared" si="74"/>
        <v>74.099999999999994</v>
      </c>
      <c r="E152">
        <f t="shared" si="75"/>
        <v>-8.1000000000000085</v>
      </c>
      <c r="F152">
        <v>2126</v>
      </c>
      <c r="G152">
        <f>238+73</f>
        <v>311</v>
      </c>
      <c r="H152">
        <f t="shared" si="69"/>
        <v>1815</v>
      </c>
      <c r="I152" s="5">
        <f t="shared" si="76"/>
        <v>1556.122790253225</v>
      </c>
      <c r="J152" s="5">
        <f t="shared" si="73"/>
        <v>429.51696129957008</v>
      </c>
      <c r="K152" s="5">
        <v>589</v>
      </c>
      <c r="L152">
        <f t="shared" si="71"/>
        <v>533</v>
      </c>
      <c r="M152">
        <v>844</v>
      </c>
    </row>
    <row r="153" spans="1:13" x14ac:dyDescent="0.65">
      <c r="A153" s="1">
        <v>42636</v>
      </c>
      <c r="B153">
        <v>72.400000000000006</v>
      </c>
      <c r="D153">
        <f t="shared" ref="D153:D207" si="77">IF(C153=0,B153,(B153+C153)/2)</f>
        <v>72.400000000000006</v>
      </c>
      <c r="E153">
        <f t="shared" ref="E153:E202" si="78">B153-$B$2</f>
        <v>-10</v>
      </c>
      <c r="F153">
        <v>2688</v>
      </c>
      <c r="G153">
        <f>256+292+357</f>
        <v>905</v>
      </c>
      <c r="H153">
        <f t="shared" si="69"/>
        <v>1783</v>
      </c>
      <c r="I153" s="5">
        <f t="shared" si="76"/>
        <v>1534.2904921165791</v>
      </c>
      <c r="J153" s="5">
        <f t="shared" si="73"/>
        <v>432.42793438445619</v>
      </c>
      <c r="K153" s="5">
        <v>299</v>
      </c>
      <c r="L153">
        <f t="shared" si="71"/>
        <v>739</v>
      </c>
      <c r="M153">
        <v>1644</v>
      </c>
    </row>
    <row r="154" spans="1:13" x14ac:dyDescent="0.65">
      <c r="A154" s="1">
        <v>42637</v>
      </c>
      <c r="B154">
        <v>73.5</v>
      </c>
      <c r="D154">
        <f t="shared" si="77"/>
        <v>73.5</v>
      </c>
      <c r="E154">
        <f t="shared" si="78"/>
        <v>-8.9000000000000057</v>
      </c>
      <c r="F154">
        <v>3106</v>
      </c>
      <c r="G154">
        <f>119+370+234</f>
        <v>723</v>
      </c>
      <c r="H154">
        <f t="shared" si="69"/>
        <v>2383</v>
      </c>
      <c r="I154" s="5">
        <f t="shared" si="76"/>
        <v>1546.9302436693742</v>
      </c>
      <c r="J154" s="5">
        <f t="shared" si="73"/>
        <v>430.7426341774169</v>
      </c>
      <c r="K154" s="5">
        <v>299</v>
      </c>
      <c r="L154">
        <f t="shared" si="71"/>
        <v>929</v>
      </c>
      <c r="M154">
        <v>1652</v>
      </c>
    </row>
    <row r="155" spans="1:13" x14ac:dyDescent="0.65">
      <c r="A155" s="1">
        <v>42638</v>
      </c>
      <c r="B155">
        <v>72.900000000000006</v>
      </c>
      <c r="C155">
        <v>72.900000000000006</v>
      </c>
      <c r="D155">
        <f t="shared" si="77"/>
        <v>72.900000000000006</v>
      </c>
      <c r="E155">
        <f t="shared" si="78"/>
        <v>-9.5</v>
      </c>
      <c r="F155">
        <v>2330</v>
      </c>
      <c r="G155">
        <f>72+119+146+104</f>
        <v>441</v>
      </c>
      <c r="H155">
        <f t="shared" si="69"/>
        <v>1889</v>
      </c>
      <c r="I155" s="5">
        <f t="shared" si="76"/>
        <v>1540.035833731486</v>
      </c>
      <c r="J155" s="5">
        <f t="shared" si="73"/>
        <v>431.66188883580185</v>
      </c>
      <c r="K155" s="5">
        <v>436</v>
      </c>
      <c r="L155">
        <f t="shared" si="71"/>
        <v>970</v>
      </c>
      <c r="M155">
        <v>1411</v>
      </c>
    </row>
    <row r="156" spans="1:13" x14ac:dyDescent="0.65">
      <c r="A156" s="1">
        <v>42639</v>
      </c>
      <c r="B156">
        <v>73.400000000000006</v>
      </c>
      <c r="D156">
        <f t="shared" si="77"/>
        <v>73.400000000000006</v>
      </c>
      <c r="E156">
        <f t="shared" si="78"/>
        <v>-9</v>
      </c>
      <c r="F156">
        <v>2562</v>
      </c>
      <c r="G156">
        <f>119+389</f>
        <v>508</v>
      </c>
      <c r="H156">
        <f t="shared" si="69"/>
        <v>2054</v>
      </c>
      <c r="I156" s="5">
        <f t="shared" si="76"/>
        <v>1545.7811753463927</v>
      </c>
      <c r="J156" s="5">
        <f t="shared" si="73"/>
        <v>430.89584328714773</v>
      </c>
      <c r="K156" s="5">
        <v>187</v>
      </c>
      <c r="L156">
        <f t="shared" si="71"/>
        <v>624</v>
      </c>
      <c r="M156">
        <v>1132</v>
      </c>
    </row>
    <row r="157" spans="1:13" x14ac:dyDescent="0.65">
      <c r="A157" s="1">
        <v>42640</v>
      </c>
      <c r="B157">
        <v>73.400000000000006</v>
      </c>
      <c r="D157">
        <f t="shared" si="77"/>
        <v>73.400000000000006</v>
      </c>
      <c r="E157">
        <f t="shared" si="78"/>
        <v>-9</v>
      </c>
      <c r="F157">
        <v>2153</v>
      </c>
      <c r="G157">
        <f>72+238+146</f>
        <v>456</v>
      </c>
      <c r="H157">
        <f t="shared" si="69"/>
        <v>1697</v>
      </c>
      <c r="I157" s="5">
        <f t="shared" si="76"/>
        <v>1545.7811753463927</v>
      </c>
      <c r="J157" s="5">
        <f t="shared" si="73"/>
        <v>430.89584328714773</v>
      </c>
      <c r="K157" s="5">
        <v>207</v>
      </c>
      <c r="L157">
        <f t="shared" si="71"/>
        <v>751</v>
      </c>
      <c r="M157">
        <v>1207</v>
      </c>
    </row>
    <row r="158" spans="1:13" x14ac:dyDescent="0.65">
      <c r="A158" s="1">
        <v>42641</v>
      </c>
      <c r="B158">
        <v>73.8</v>
      </c>
      <c r="D158">
        <f t="shared" si="77"/>
        <v>73.8</v>
      </c>
      <c r="E158">
        <f t="shared" si="78"/>
        <v>-8.6000000000000085</v>
      </c>
      <c r="F158">
        <v>2204</v>
      </c>
      <c r="G158">
        <f>119+389</f>
        <v>508</v>
      </c>
      <c r="H158">
        <f t="shared" si="69"/>
        <v>1696</v>
      </c>
      <c r="I158" s="5">
        <f t="shared" si="76"/>
        <v>1550.3774486383181</v>
      </c>
      <c r="J158" s="5">
        <f t="shared" si="73"/>
        <v>430.2830068482242</v>
      </c>
      <c r="K158" s="5">
        <v>299</v>
      </c>
      <c r="L158">
        <f t="shared" si="71"/>
        <v>685</v>
      </c>
      <c r="M158">
        <v>1193</v>
      </c>
    </row>
    <row r="159" spans="1:13" x14ac:dyDescent="0.65">
      <c r="A159" s="1">
        <v>42642</v>
      </c>
      <c r="B159">
        <v>73.5</v>
      </c>
      <c r="D159">
        <f t="shared" si="77"/>
        <v>73.5</v>
      </c>
      <c r="E159">
        <f t="shared" si="78"/>
        <v>-8.9000000000000057</v>
      </c>
      <c r="F159">
        <v>2713</v>
      </c>
      <c r="G159">
        <f>476+185+146</f>
        <v>807</v>
      </c>
      <c r="H159">
        <f t="shared" si="69"/>
        <v>1906</v>
      </c>
      <c r="I159" s="5">
        <f t="shared" si="76"/>
        <v>1546.9302436693742</v>
      </c>
      <c r="J159" s="5">
        <f t="shared" si="73"/>
        <v>430.7426341774169</v>
      </c>
      <c r="K159" s="5">
        <v>354</v>
      </c>
      <c r="L159">
        <f t="shared" si="71"/>
        <v>513</v>
      </c>
      <c r="M159">
        <v>1320</v>
      </c>
    </row>
    <row r="160" spans="1:13" x14ac:dyDescent="0.65">
      <c r="A160" s="1">
        <v>42643</v>
      </c>
      <c r="B160">
        <v>74.099999999999994</v>
      </c>
      <c r="D160">
        <f t="shared" si="77"/>
        <v>74.099999999999994</v>
      </c>
      <c r="E160">
        <f t="shared" si="78"/>
        <v>-8.3000000000000114</v>
      </c>
      <c r="F160">
        <v>3711</v>
      </c>
      <c r="G160">
        <f>140+312+595+555</f>
        <v>1602</v>
      </c>
      <c r="H160">
        <f t="shared" si="69"/>
        <v>2109</v>
      </c>
      <c r="I160" s="5">
        <f t="shared" si="76"/>
        <v>1553.8246536072625</v>
      </c>
      <c r="J160" s="5">
        <f t="shared" si="73"/>
        <v>429.82337951903173</v>
      </c>
      <c r="K160" s="5">
        <v>385</v>
      </c>
      <c r="L160">
        <f t="shared" si="71"/>
        <v>608</v>
      </c>
      <c r="M160">
        <v>2210</v>
      </c>
    </row>
    <row r="161" spans="1:13" x14ac:dyDescent="0.65">
      <c r="A161" s="1">
        <v>42644</v>
      </c>
      <c r="B161">
        <v>73.5</v>
      </c>
      <c r="C161">
        <v>73.599999999999994</v>
      </c>
      <c r="D161">
        <f t="shared" si="77"/>
        <v>73.55</v>
      </c>
      <c r="E161">
        <f t="shared" si="78"/>
        <v>-8.9000000000000057</v>
      </c>
      <c r="F161">
        <v>1894</v>
      </c>
      <c r="G161">
        <f>238+438</f>
        <v>676</v>
      </c>
      <c r="H161">
        <f t="shared" si="69"/>
        <v>1218</v>
      </c>
      <c r="I161" s="5">
        <f t="shared" si="76"/>
        <v>1546.9302436693742</v>
      </c>
      <c r="J161" s="5">
        <f t="shared" si="73"/>
        <v>430.7426341774169</v>
      </c>
      <c r="K161" s="5">
        <v>702</v>
      </c>
      <c r="L161">
        <f t="shared" si="71"/>
        <v>462</v>
      </c>
      <c r="M161">
        <v>1138</v>
      </c>
    </row>
    <row r="162" spans="1:13" x14ac:dyDescent="0.65">
      <c r="A162" s="1">
        <v>42645</v>
      </c>
      <c r="B162">
        <v>73.8</v>
      </c>
      <c r="D162">
        <f t="shared" si="77"/>
        <v>73.8</v>
      </c>
      <c r="E162">
        <f t="shared" si="78"/>
        <v>-8.6000000000000085</v>
      </c>
      <c r="F162">
        <v>2169</v>
      </c>
      <c r="G162">
        <f>453+143</f>
        <v>596</v>
      </c>
      <c r="H162">
        <f t="shared" si="69"/>
        <v>1573</v>
      </c>
      <c r="I162" s="5">
        <f t="shared" si="76"/>
        <v>1550.3774486383181</v>
      </c>
      <c r="J162" s="5">
        <f t="shared" si="73"/>
        <v>430.2830068482242</v>
      </c>
      <c r="K162" s="5">
        <v>59</v>
      </c>
      <c r="L162">
        <f t="shared" si="71"/>
        <v>754</v>
      </c>
      <c r="M162">
        <v>1350</v>
      </c>
    </row>
    <row r="163" spans="1:13" x14ac:dyDescent="0.65">
      <c r="A163" s="1">
        <v>42646</v>
      </c>
      <c r="B163">
        <v>73.599999999999994</v>
      </c>
      <c r="D163">
        <f t="shared" si="77"/>
        <v>73.599999999999994</v>
      </c>
      <c r="E163">
        <f t="shared" si="78"/>
        <v>-8.8000000000000114</v>
      </c>
      <c r="F163">
        <v>3138</v>
      </c>
      <c r="G163">
        <f>320+285+142</f>
        <v>747</v>
      </c>
      <c r="H163">
        <f t="shared" si="69"/>
        <v>2391</v>
      </c>
      <c r="I163" s="5">
        <f t="shared" si="76"/>
        <v>1548.0793119923553</v>
      </c>
      <c r="J163" s="5">
        <f t="shared" si="73"/>
        <v>430.58942506768608</v>
      </c>
      <c r="K163" s="5">
        <v>194</v>
      </c>
      <c r="L163">
        <f t="shared" si="71"/>
        <v>1202</v>
      </c>
      <c r="M163">
        <v>1949</v>
      </c>
    </row>
    <row r="164" spans="1:13" x14ac:dyDescent="0.65">
      <c r="A164" s="1">
        <v>42647</v>
      </c>
      <c r="B164">
        <v>73.599999999999994</v>
      </c>
      <c r="D164">
        <f t="shared" si="77"/>
        <v>73.599999999999994</v>
      </c>
      <c r="E164">
        <f t="shared" si="78"/>
        <v>-8.8000000000000114</v>
      </c>
      <c r="F164">
        <v>3071</v>
      </c>
      <c r="G164">
        <f>389+117+200</f>
        <v>706</v>
      </c>
      <c r="H164">
        <f t="shared" si="69"/>
        <v>2365</v>
      </c>
      <c r="I164" s="5">
        <f t="shared" si="76"/>
        <v>1548.0793119923553</v>
      </c>
      <c r="J164" s="5">
        <f t="shared" si="73"/>
        <v>430.58942506768608</v>
      </c>
      <c r="K164" s="5">
        <v>111</v>
      </c>
      <c r="L164">
        <f t="shared" si="71"/>
        <v>1298</v>
      </c>
      <c r="M164">
        <f>1642+362</f>
        <v>2004</v>
      </c>
    </row>
    <row r="165" spans="1:13" x14ac:dyDescent="0.65">
      <c r="A165" s="1">
        <v>42648</v>
      </c>
      <c r="B165">
        <v>73.599999999999994</v>
      </c>
      <c r="D165">
        <f t="shared" si="77"/>
        <v>73.599999999999994</v>
      </c>
      <c r="E165">
        <f t="shared" si="78"/>
        <v>-8.8000000000000114</v>
      </c>
      <c r="F165">
        <v>2866</v>
      </c>
      <c r="G165">
        <f>185+119+119+208+104</f>
        <v>735</v>
      </c>
      <c r="H165">
        <f t="shared" si="69"/>
        <v>2131</v>
      </c>
      <c r="I165" s="5">
        <f t="shared" si="76"/>
        <v>1548.0793119923553</v>
      </c>
      <c r="J165" s="5">
        <f t="shared" si="73"/>
        <v>430.58942506768608</v>
      </c>
      <c r="K165" s="5">
        <v>297</v>
      </c>
      <c r="L165">
        <f t="shared" si="71"/>
        <v>850</v>
      </c>
      <c r="M165">
        <f>964+621</f>
        <v>1585</v>
      </c>
    </row>
    <row r="166" spans="1:13" x14ac:dyDescent="0.65">
      <c r="A166" s="1">
        <v>42649</v>
      </c>
      <c r="B166">
        <v>73.900000000000006</v>
      </c>
      <c r="D166">
        <f t="shared" si="77"/>
        <v>73.900000000000006</v>
      </c>
      <c r="E166">
        <f t="shared" si="78"/>
        <v>-8.5</v>
      </c>
      <c r="F166">
        <v>2266</v>
      </c>
      <c r="G166">
        <f>119+657</f>
        <v>776</v>
      </c>
      <c r="H166">
        <f t="shared" si="69"/>
        <v>1490</v>
      </c>
      <c r="I166" s="5">
        <f t="shared" si="76"/>
        <v>1551.5265169612996</v>
      </c>
      <c r="J166" s="5">
        <f t="shared" si="73"/>
        <v>430.12979773849338</v>
      </c>
      <c r="K166" s="5">
        <v>463</v>
      </c>
      <c r="L166">
        <f t="shared" si="71"/>
        <v>576</v>
      </c>
      <c r="M166">
        <v>1352</v>
      </c>
    </row>
    <row r="167" spans="1:13" x14ac:dyDescent="0.65">
      <c r="A167" s="1">
        <v>42650</v>
      </c>
      <c r="B167">
        <v>74.099999999999994</v>
      </c>
      <c r="D167">
        <f t="shared" si="77"/>
        <v>74.099999999999994</v>
      </c>
      <c r="E167">
        <f t="shared" si="78"/>
        <v>-8.3000000000000114</v>
      </c>
      <c r="F167">
        <v>4378</v>
      </c>
      <c r="G167">
        <f>1848+169+185+200</f>
        <v>2402</v>
      </c>
      <c r="H167">
        <f t="shared" si="69"/>
        <v>1976</v>
      </c>
      <c r="I167" s="5">
        <f t="shared" si="76"/>
        <v>1553.8246536072625</v>
      </c>
      <c r="J167" s="5">
        <f t="shared" si="73"/>
        <v>429.82337951903173</v>
      </c>
      <c r="K167" s="5">
        <v>346</v>
      </c>
      <c r="L167">
        <f t="shared" si="71"/>
        <v>891</v>
      </c>
      <c r="M167">
        <v>3293</v>
      </c>
    </row>
    <row r="168" spans="1:13" x14ac:dyDescent="0.65">
      <c r="A168" s="1">
        <v>42651</v>
      </c>
      <c r="B168">
        <v>74.099999999999994</v>
      </c>
      <c r="C168">
        <v>73.599999999999994</v>
      </c>
      <c r="D168">
        <f t="shared" si="77"/>
        <v>73.849999999999994</v>
      </c>
      <c r="E168">
        <f t="shared" si="78"/>
        <v>-8.3000000000000114</v>
      </c>
      <c r="F168">
        <v>1793</v>
      </c>
      <c r="G168">
        <f>476+130</f>
        <v>606</v>
      </c>
      <c r="H168">
        <f t="shared" ref="H168:H199" si="79">F168-G168</f>
        <v>1187</v>
      </c>
      <c r="I168" s="5">
        <f t="shared" si="76"/>
        <v>1553.8246536072625</v>
      </c>
      <c r="J168" s="5">
        <f t="shared" si="73"/>
        <v>429.82337951903173</v>
      </c>
      <c r="K168" s="5">
        <v>369</v>
      </c>
      <c r="L168">
        <f t="shared" ref="L168:L199" si="80">M168-G168</f>
        <v>512</v>
      </c>
      <c r="M168">
        <f>1118</f>
        <v>1118</v>
      </c>
    </row>
    <row r="169" spans="1:13" x14ac:dyDescent="0.65">
      <c r="A169" s="1">
        <v>42652</v>
      </c>
      <c r="B169">
        <v>73.599999999999994</v>
      </c>
      <c r="D169">
        <f t="shared" si="77"/>
        <v>73.599999999999994</v>
      </c>
      <c r="E169">
        <f t="shared" si="78"/>
        <v>-8.8000000000000114</v>
      </c>
      <c r="F169">
        <v>2272</v>
      </c>
      <c r="G169">
        <f>238+176+259</f>
        <v>673</v>
      </c>
      <c r="H169">
        <f t="shared" si="79"/>
        <v>1599</v>
      </c>
      <c r="I169" s="5">
        <f t="shared" si="76"/>
        <v>1548.0793119923553</v>
      </c>
      <c r="J169" s="5">
        <f t="shared" si="73"/>
        <v>430.58942506768608</v>
      </c>
      <c r="K169" s="5">
        <v>507</v>
      </c>
      <c r="L169">
        <f t="shared" si="80"/>
        <v>471</v>
      </c>
      <c r="M169">
        <v>1144</v>
      </c>
    </row>
    <row r="170" spans="1:13" x14ac:dyDescent="0.65">
      <c r="A170" s="1">
        <v>42653</v>
      </c>
      <c r="B170">
        <v>73.400000000000006</v>
      </c>
      <c r="C170">
        <v>73.900000000000006</v>
      </c>
      <c r="D170">
        <f t="shared" si="77"/>
        <v>73.650000000000006</v>
      </c>
      <c r="E170">
        <f t="shared" si="78"/>
        <v>-9</v>
      </c>
      <c r="F170">
        <v>2183</v>
      </c>
      <c r="G170">
        <f>238+263</f>
        <v>501</v>
      </c>
      <c r="H170">
        <f t="shared" si="79"/>
        <v>1682</v>
      </c>
      <c r="I170" s="5">
        <f t="shared" si="76"/>
        <v>1545.7811753463927</v>
      </c>
      <c r="J170" s="5">
        <f t="shared" si="73"/>
        <v>430.89584328714773</v>
      </c>
      <c r="K170" s="5">
        <v>701</v>
      </c>
      <c r="L170">
        <f t="shared" si="80"/>
        <v>690</v>
      </c>
      <c r="M170">
        <v>1191</v>
      </c>
    </row>
    <row r="171" spans="1:13" x14ac:dyDescent="0.65">
      <c r="A171" s="1">
        <v>42654</v>
      </c>
      <c r="B171">
        <v>73.5</v>
      </c>
      <c r="D171">
        <f t="shared" si="77"/>
        <v>73.5</v>
      </c>
      <c r="E171">
        <f t="shared" si="78"/>
        <v>-8.9000000000000057</v>
      </c>
      <c r="F171">
        <v>2143</v>
      </c>
      <c r="G171">
        <f>119+219</f>
        <v>338</v>
      </c>
      <c r="H171">
        <f t="shared" si="79"/>
        <v>1805</v>
      </c>
      <c r="I171" s="5">
        <f t="shared" si="76"/>
        <v>1546.9302436693742</v>
      </c>
      <c r="J171" s="5">
        <f t="shared" si="73"/>
        <v>430.7426341774169</v>
      </c>
      <c r="K171" s="5">
        <v>222</v>
      </c>
      <c r="L171">
        <f t="shared" si="80"/>
        <v>570</v>
      </c>
      <c r="M171">
        <v>908</v>
      </c>
    </row>
    <row r="172" spans="1:13" x14ac:dyDescent="0.65">
      <c r="A172" s="1">
        <v>42655</v>
      </c>
      <c r="B172">
        <v>74</v>
      </c>
      <c r="D172">
        <f t="shared" si="77"/>
        <v>74</v>
      </c>
      <c r="E172">
        <f t="shared" si="78"/>
        <v>-8.4000000000000057</v>
      </c>
      <c r="F172">
        <v>2959</v>
      </c>
      <c r="G172">
        <f>595+37+238+600</f>
        <v>1470</v>
      </c>
      <c r="H172">
        <f t="shared" si="79"/>
        <v>1489</v>
      </c>
      <c r="I172" s="5">
        <f t="shared" si="76"/>
        <v>1552.6755852842807</v>
      </c>
      <c r="J172" s="5">
        <f t="shared" si="73"/>
        <v>429.97658862876256</v>
      </c>
      <c r="K172" s="5">
        <v>407</v>
      </c>
      <c r="L172">
        <f t="shared" si="80"/>
        <v>423</v>
      </c>
      <c r="M172">
        <f>1612+281</f>
        <v>1893</v>
      </c>
    </row>
    <row r="173" spans="1:13" x14ac:dyDescent="0.65">
      <c r="A173" s="1">
        <v>42656</v>
      </c>
      <c r="B173">
        <v>73.400000000000006</v>
      </c>
      <c r="D173">
        <f t="shared" si="77"/>
        <v>73.400000000000006</v>
      </c>
      <c r="E173">
        <f t="shared" si="78"/>
        <v>-9</v>
      </c>
      <c r="F173">
        <v>2028</v>
      </c>
      <c r="G173">
        <f>238+175</f>
        <v>413</v>
      </c>
      <c r="H173">
        <f t="shared" si="79"/>
        <v>1615</v>
      </c>
      <c r="I173" s="5">
        <f t="shared" si="76"/>
        <v>1545.7811753463927</v>
      </c>
      <c r="J173" s="5">
        <f t="shared" si="73"/>
        <v>430.89584328714773</v>
      </c>
      <c r="K173" s="5">
        <v>244</v>
      </c>
      <c r="L173">
        <f t="shared" si="80"/>
        <v>555</v>
      </c>
      <c r="M173">
        <f>968</f>
        <v>968</v>
      </c>
    </row>
    <row r="174" spans="1:13" x14ac:dyDescent="0.65">
      <c r="A174" s="1">
        <v>42657</v>
      </c>
      <c r="B174">
        <v>73.099999999999994</v>
      </c>
      <c r="D174">
        <f t="shared" si="77"/>
        <v>73.099999999999994</v>
      </c>
      <c r="E174">
        <f t="shared" si="78"/>
        <v>-9.3000000000000114</v>
      </c>
      <c r="F174">
        <v>2381</v>
      </c>
      <c r="G174">
        <f>73+584+73</f>
        <v>730</v>
      </c>
      <c r="H174">
        <f t="shared" si="79"/>
        <v>1651</v>
      </c>
      <c r="I174" s="5">
        <f t="shared" si="76"/>
        <v>1542.3339703774484</v>
      </c>
      <c r="J174" s="5">
        <f t="shared" si="73"/>
        <v>431.3554706163402</v>
      </c>
      <c r="K174" s="5">
        <v>383</v>
      </c>
      <c r="L174">
        <f t="shared" si="80"/>
        <v>871</v>
      </c>
      <c r="M174">
        <f>1163+438</f>
        <v>1601</v>
      </c>
    </row>
    <row r="175" spans="1:13" x14ac:dyDescent="0.65">
      <c r="A175" s="1">
        <v>42658</v>
      </c>
      <c r="B175">
        <v>74.400000000000006</v>
      </c>
      <c r="C175">
        <v>74</v>
      </c>
      <c r="D175">
        <f t="shared" si="77"/>
        <v>74.2</v>
      </c>
      <c r="E175">
        <f t="shared" si="78"/>
        <v>-8</v>
      </c>
      <c r="F175">
        <v>1976</v>
      </c>
      <c r="G175">
        <f>238+219</f>
        <v>457</v>
      </c>
      <c r="H175">
        <f t="shared" si="79"/>
        <v>1519</v>
      </c>
      <c r="I175" s="5">
        <f t="shared" si="76"/>
        <v>1557.2718585762063</v>
      </c>
      <c r="J175" s="5">
        <f t="shared" si="73"/>
        <v>429.36375218983926</v>
      </c>
      <c r="K175" s="5">
        <v>605</v>
      </c>
      <c r="L175">
        <f t="shared" si="80"/>
        <v>784</v>
      </c>
      <c r="M175">
        <v>1241</v>
      </c>
    </row>
    <row r="176" spans="1:13" x14ac:dyDescent="0.65">
      <c r="A176" s="1">
        <v>42659</v>
      </c>
      <c r="B176">
        <v>74.3</v>
      </c>
      <c r="D176">
        <f t="shared" si="77"/>
        <v>74.3</v>
      </c>
      <c r="E176">
        <f t="shared" si="78"/>
        <v>-8.1000000000000085</v>
      </c>
      <c r="F176">
        <v>2015</v>
      </c>
      <c r="G176">
        <f>238+219</f>
        <v>457</v>
      </c>
      <c r="H176">
        <f t="shared" si="79"/>
        <v>1558</v>
      </c>
      <c r="I176" s="5">
        <f t="shared" si="76"/>
        <v>1556.122790253225</v>
      </c>
      <c r="J176" s="5">
        <f t="shared" si="73"/>
        <v>429.51696129957008</v>
      </c>
      <c r="K176" s="5">
        <v>815</v>
      </c>
      <c r="L176">
        <f t="shared" si="80"/>
        <v>490</v>
      </c>
      <c r="M176">
        <v>947</v>
      </c>
    </row>
    <row r="177" spans="1:13" x14ac:dyDescent="0.65">
      <c r="A177" s="1">
        <v>42660</v>
      </c>
      <c r="B177">
        <v>73.599999999999994</v>
      </c>
      <c r="D177">
        <f t="shared" si="77"/>
        <v>73.599999999999994</v>
      </c>
      <c r="E177">
        <f t="shared" si="78"/>
        <v>-8.8000000000000114</v>
      </c>
      <c r="F177">
        <v>2026</v>
      </c>
      <c r="G177">
        <f>238+131</f>
        <v>369</v>
      </c>
      <c r="H177">
        <f t="shared" si="79"/>
        <v>1657</v>
      </c>
      <c r="I177" s="5">
        <f t="shared" si="76"/>
        <v>1548.0793119923553</v>
      </c>
      <c r="J177" s="5">
        <f t="shared" si="73"/>
        <v>430.58942506768608</v>
      </c>
      <c r="K177" s="5">
        <v>233</v>
      </c>
      <c r="L177">
        <f t="shared" si="80"/>
        <v>808</v>
      </c>
      <c r="M177">
        <v>1177</v>
      </c>
    </row>
    <row r="178" spans="1:13" x14ac:dyDescent="0.65">
      <c r="A178" s="1">
        <v>42661</v>
      </c>
      <c r="B178">
        <v>73.8</v>
      </c>
      <c r="D178">
        <f t="shared" si="77"/>
        <v>73.8</v>
      </c>
      <c r="E178">
        <f t="shared" si="78"/>
        <v>-8.6000000000000085</v>
      </c>
      <c r="F178">
        <v>2453</v>
      </c>
      <c r="G178">
        <f>144+238+219</f>
        <v>601</v>
      </c>
      <c r="H178">
        <f t="shared" si="79"/>
        <v>1852</v>
      </c>
      <c r="I178" s="5">
        <f t="shared" si="76"/>
        <v>1550.3774486383181</v>
      </c>
      <c r="J178" s="5">
        <f t="shared" si="73"/>
        <v>430.2830068482242</v>
      </c>
      <c r="K178" s="5">
        <v>314</v>
      </c>
      <c r="L178">
        <f t="shared" si="80"/>
        <v>725</v>
      </c>
      <c r="M178">
        <v>1326</v>
      </c>
    </row>
    <row r="179" spans="1:13" x14ac:dyDescent="0.65">
      <c r="A179" s="1">
        <v>42662</v>
      </c>
      <c r="B179">
        <v>74.3</v>
      </c>
      <c r="D179">
        <f t="shared" si="77"/>
        <v>74.3</v>
      </c>
      <c r="E179">
        <f t="shared" si="78"/>
        <v>-8.1000000000000085</v>
      </c>
      <c r="F179">
        <v>2012</v>
      </c>
      <c r="G179">
        <f>357+110</f>
        <v>467</v>
      </c>
      <c r="H179">
        <f t="shared" si="79"/>
        <v>1545</v>
      </c>
      <c r="I179" s="5">
        <f t="shared" si="76"/>
        <v>1556.122790253225</v>
      </c>
      <c r="J179" s="5">
        <f t="shared" si="73"/>
        <v>429.51696129957008</v>
      </c>
      <c r="K179" s="5">
        <v>180</v>
      </c>
      <c r="L179">
        <f t="shared" si="80"/>
        <v>354</v>
      </c>
      <c r="M179">
        <v>821</v>
      </c>
    </row>
    <row r="180" spans="1:13" x14ac:dyDescent="0.65">
      <c r="A180" s="1">
        <v>42663</v>
      </c>
      <c r="B180">
        <v>73.8</v>
      </c>
      <c r="D180">
        <f t="shared" si="77"/>
        <v>73.8</v>
      </c>
      <c r="E180">
        <f t="shared" si="78"/>
        <v>-8.6000000000000085</v>
      </c>
      <c r="F180">
        <v>3097</v>
      </c>
      <c r="G180">
        <f>595+416</f>
        <v>1011</v>
      </c>
      <c r="H180">
        <f t="shared" si="79"/>
        <v>2086</v>
      </c>
      <c r="I180" s="5">
        <f t="shared" si="76"/>
        <v>1550.3774486383181</v>
      </c>
      <c r="J180" s="5">
        <f t="shared" si="73"/>
        <v>430.2830068482242</v>
      </c>
      <c r="K180" s="5">
        <v>372</v>
      </c>
      <c r="L180">
        <f t="shared" si="80"/>
        <v>915</v>
      </c>
      <c r="M180">
        <f>934+992</f>
        <v>1926</v>
      </c>
    </row>
    <row r="181" spans="1:13" x14ac:dyDescent="0.65">
      <c r="A181" s="1">
        <v>42664</v>
      </c>
      <c r="B181">
        <v>74.3</v>
      </c>
      <c r="D181">
        <f t="shared" si="77"/>
        <v>74.3</v>
      </c>
      <c r="E181">
        <f t="shared" si="78"/>
        <v>-8.1000000000000085</v>
      </c>
      <c r="F181">
        <v>2995</v>
      </c>
      <c r="G181">
        <f>119+219+357</f>
        <v>695</v>
      </c>
      <c r="H181">
        <f t="shared" si="79"/>
        <v>2300</v>
      </c>
      <c r="I181" s="5">
        <f t="shared" si="76"/>
        <v>1556.122790253225</v>
      </c>
      <c r="J181" s="5">
        <f t="shared" si="73"/>
        <v>429.51696129957008</v>
      </c>
      <c r="K181" s="5">
        <v>421</v>
      </c>
      <c r="L181">
        <f t="shared" si="80"/>
        <v>1310</v>
      </c>
      <c r="M181">
        <f>1146+859</f>
        <v>2005</v>
      </c>
    </row>
    <row r="182" spans="1:13" x14ac:dyDescent="0.65">
      <c r="A182" s="1">
        <v>42665</v>
      </c>
      <c r="B182">
        <v>74.5</v>
      </c>
      <c r="C182">
        <v>73.599999999999994</v>
      </c>
      <c r="D182">
        <f t="shared" si="77"/>
        <v>74.05</v>
      </c>
      <c r="E182">
        <f t="shared" si="78"/>
        <v>-7.9000000000000057</v>
      </c>
      <c r="F182">
        <v>1918</v>
      </c>
      <c r="G182">
        <f>238+110</f>
        <v>348</v>
      </c>
      <c r="H182">
        <f t="shared" si="79"/>
        <v>1570</v>
      </c>
      <c r="I182" s="5">
        <f t="shared" si="76"/>
        <v>1558.4209268991879</v>
      </c>
      <c r="J182" s="5">
        <f t="shared" si="73"/>
        <v>429.21054308010844</v>
      </c>
      <c r="K182" s="5">
        <v>584</v>
      </c>
      <c r="L182">
        <f t="shared" si="80"/>
        <v>1463</v>
      </c>
      <c r="M182">
        <v>1811</v>
      </c>
    </row>
    <row r="183" spans="1:13" x14ac:dyDescent="0.65">
      <c r="A183" s="1">
        <v>42666</v>
      </c>
      <c r="B183">
        <v>73.3</v>
      </c>
      <c r="D183">
        <f t="shared" si="77"/>
        <v>73.3</v>
      </c>
      <c r="E183">
        <f t="shared" si="78"/>
        <v>-9.1000000000000085</v>
      </c>
      <c r="F183">
        <v>3232</v>
      </c>
      <c r="G183">
        <f>308+51+302+119</f>
        <v>780</v>
      </c>
      <c r="H183">
        <f t="shared" si="79"/>
        <v>2452</v>
      </c>
      <c r="I183" s="5">
        <f t="shared" si="76"/>
        <v>1544.6321070234117</v>
      </c>
      <c r="J183" s="5">
        <f t="shared" si="73"/>
        <v>431.04905239687855</v>
      </c>
      <c r="K183" s="5">
        <v>646</v>
      </c>
      <c r="L183">
        <f t="shared" si="80"/>
        <v>1990</v>
      </c>
      <c r="M183">
        <f>805+1965</f>
        <v>2770</v>
      </c>
    </row>
    <row r="184" spans="1:13" x14ac:dyDescent="0.65">
      <c r="A184" s="1">
        <v>42667</v>
      </c>
      <c r="B184">
        <v>73.7</v>
      </c>
      <c r="D184">
        <f t="shared" si="77"/>
        <v>73.7</v>
      </c>
      <c r="E184">
        <f t="shared" si="78"/>
        <v>-8.7000000000000028</v>
      </c>
      <c r="F184">
        <v>2206</v>
      </c>
      <c r="G184">
        <f>119+219</f>
        <v>338</v>
      </c>
      <c r="H184">
        <f t="shared" si="79"/>
        <v>1868</v>
      </c>
      <c r="I184" s="5">
        <f t="shared" si="76"/>
        <v>1549.2283803153371</v>
      </c>
      <c r="J184" s="5">
        <f t="shared" si="73"/>
        <v>430.43621595795503</v>
      </c>
      <c r="K184" s="5">
        <v>429</v>
      </c>
      <c r="L184">
        <f t="shared" si="80"/>
        <v>651</v>
      </c>
      <c r="M184">
        <v>989</v>
      </c>
    </row>
    <row r="185" spans="1:13" x14ac:dyDescent="0.65">
      <c r="A185" s="1">
        <v>42668</v>
      </c>
      <c r="B185">
        <v>74.2</v>
      </c>
      <c r="D185">
        <f t="shared" si="77"/>
        <v>74.2</v>
      </c>
      <c r="E185">
        <f t="shared" si="78"/>
        <v>-8.2000000000000028</v>
      </c>
      <c r="F185">
        <v>2854</v>
      </c>
      <c r="G185">
        <f>357+370</f>
        <v>727</v>
      </c>
      <c r="H185">
        <f t="shared" si="79"/>
        <v>2127</v>
      </c>
      <c r="I185" s="5">
        <f t="shared" si="76"/>
        <v>1554.9737219302438</v>
      </c>
      <c r="J185" s="5">
        <f t="shared" si="73"/>
        <v>429.67017040930091</v>
      </c>
      <c r="K185" s="5">
        <v>171</v>
      </c>
      <c r="L185">
        <f t="shared" si="80"/>
        <v>707</v>
      </c>
      <c r="M185">
        <v>1434</v>
      </c>
    </row>
    <row r="186" spans="1:13" x14ac:dyDescent="0.65">
      <c r="A186" s="1">
        <v>42669</v>
      </c>
      <c r="B186">
        <v>73.900000000000006</v>
      </c>
      <c r="D186">
        <f t="shared" si="77"/>
        <v>73.900000000000006</v>
      </c>
      <c r="E186">
        <f t="shared" si="78"/>
        <v>-8.5</v>
      </c>
      <c r="F186">
        <v>2435</v>
      </c>
      <c r="G186">
        <f>119+263</f>
        <v>382</v>
      </c>
      <c r="H186">
        <f t="shared" si="79"/>
        <v>2053</v>
      </c>
      <c r="I186" s="5">
        <f t="shared" si="76"/>
        <v>1551.5265169612996</v>
      </c>
      <c r="J186" s="5">
        <f t="shared" si="73"/>
        <v>430.12979773849338</v>
      </c>
      <c r="K186" s="5">
        <v>121</v>
      </c>
      <c r="L186">
        <f t="shared" si="80"/>
        <v>754</v>
      </c>
      <c r="M186">
        <f>1136</f>
        <v>1136</v>
      </c>
    </row>
    <row r="187" spans="1:13" x14ac:dyDescent="0.65">
      <c r="A187" s="1">
        <v>42670</v>
      </c>
      <c r="B187">
        <v>74</v>
      </c>
      <c r="D187">
        <f t="shared" si="77"/>
        <v>74</v>
      </c>
      <c r="E187">
        <f t="shared" si="78"/>
        <v>-8.4000000000000057</v>
      </c>
      <c r="F187">
        <v>2624</v>
      </c>
      <c r="G187">
        <f>453+370</f>
        <v>823</v>
      </c>
      <c r="H187">
        <f t="shared" si="79"/>
        <v>1801</v>
      </c>
      <c r="I187" s="5">
        <f t="shared" si="76"/>
        <v>1552.6755852842807</v>
      </c>
      <c r="J187" s="5">
        <f t="shared" si="73"/>
        <v>429.97658862876256</v>
      </c>
      <c r="K187" s="5">
        <v>405</v>
      </c>
      <c r="L187">
        <f t="shared" si="80"/>
        <v>547</v>
      </c>
      <c r="M187">
        <v>1370</v>
      </c>
    </row>
    <row r="188" spans="1:13" x14ac:dyDescent="0.65">
      <c r="A188" s="1">
        <v>42671</v>
      </c>
      <c r="B188">
        <v>74</v>
      </c>
      <c r="D188">
        <f t="shared" si="77"/>
        <v>74</v>
      </c>
      <c r="E188">
        <f t="shared" si="78"/>
        <v>-8.4000000000000057</v>
      </c>
      <c r="F188">
        <v>2184</v>
      </c>
      <c r="G188">
        <f>238+292</f>
        <v>530</v>
      </c>
      <c r="H188">
        <f t="shared" si="79"/>
        <v>1654</v>
      </c>
      <c r="I188" s="5">
        <f t="shared" si="76"/>
        <v>1552.6755852842807</v>
      </c>
      <c r="J188" s="5">
        <f t="shared" si="73"/>
        <v>429.97658862876256</v>
      </c>
      <c r="K188" s="5">
        <v>270</v>
      </c>
      <c r="L188">
        <f t="shared" si="80"/>
        <v>609</v>
      </c>
      <c r="M188">
        <v>1139</v>
      </c>
    </row>
    <row r="189" spans="1:13" x14ac:dyDescent="0.65">
      <c r="A189" s="1">
        <v>42672</v>
      </c>
      <c r="B189">
        <v>74.2</v>
      </c>
      <c r="C189">
        <v>74.2</v>
      </c>
      <c r="D189">
        <f t="shared" si="77"/>
        <v>74.2</v>
      </c>
      <c r="E189">
        <f t="shared" si="78"/>
        <v>-8.2000000000000028</v>
      </c>
      <c r="F189">
        <v>2128</v>
      </c>
      <c r="G189">
        <f>476+219</f>
        <v>695</v>
      </c>
      <c r="H189">
        <f t="shared" si="79"/>
        <v>1433</v>
      </c>
      <c r="I189" s="5">
        <f t="shared" si="76"/>
        <v>1554.9737219302438</v>
      </c>
      <c r="J189" s="5">
        <f t="shared" si="73"/>
        <v>429.67017040930091</v>
      </c>
      <c r="K189" s="5">
        <v>619</v>
      </c>
      <c r="L189">
        <f t="shared" si="80"/>
        <v>511</v>
      </c>
      <c r="M189">
        <v>1206</v>
      </c>
    </row>
    <row r="190" spans="1:13" x14ac:dyDescent="0.65">
      <c r="A190" s="1">
        <v>42673</v>
      </c>
      <c r="B190">
        <v>74.599999999999994</v>
      </c>
      <c r="D190">
        <f t="shared" si="77"/>
        <v>74.599999999999994</v>
      </c>
      <c r="E190">
        <f t="shared" si="78"/>
        <v>-7.8000000000000114</v>
      </c>
      <c r="F190">
        <v>2443</v>
      </c>
      <c r="G190">
        <f>146+254</f>
        <v>400</v>
      </c>
      <c r="H190">
        <f t="shared" si="79"/>
        <v>2043</v>
      </c>
      <c r="I190" s="5">
        <f t="shared" si="76"/>
        <v>1559.5699952221692</v>
      </c>
      <c r="J190" s="5">
        <f t="shared" si="73"/>
        <v>429.05733397037739</v>
      </c>
      <c r="K190" s="5">
        <v>249</v>
      </c>
      <c r="L190">
        <f t="shared" si="80"/>
        <v>617</v>
      </c>
      <c r="M190">
        <v>1017</v>
      </c>
    </row>
    <row r="191" spans="1:13" x14ac:dyDescent="0.65">
      <c r="A191" s="1">
        <v>42674</v>
      </c>
      <c r="B191">
        <v>74.3</v>
      </c>
      <c r="D191">
        <f t="shared" si="77"/>
        <v>74.3</v>
      </c>
      <c r="E191">
        <f t="shared" si="78"/>
        <v>-8.1000000000000085</v>
      </c>
      <c r="F191">
        <v>2237</v>
      </c>
      <c r="G191">
        <f>131+88+312</f>
        <v>531</v>
      </c>
      <c r="H191">
        <f t="shared" si="79"/>
        <v>1706</v>
      </c>
      <c r="I191" s="5">
        <f t="shared" si="76"/>
        <v>1556.122790253225</v>
      </c>
      <c r="J191" s="5">
        <f t="shared" si="73"/>
        <v>429.51696129957008</v>
      </c>
      <c r="K191" s="5">
        <v>362</v>
      </c>
      <c r="L191">
        <f t="shared" si="80"/>
        <v>753</v>
      </c>
      <c r="M191">
        <v>1284</v>
      </c>
    </row>
    <row r="192" spans="1:13" x14ac:dyDescent="0.65">
      <c r="A192" s="1">
        <v>42675</v>
      </c>
      <c r="B192">
        <v>74.2</v>
      </c>
      <c r="D192">
        <f t="shared" si="77"/>
        <v>74.2</v>
      </c>
      <c r="E192">
        <f t="shared" si="78"/>
        <v>-8.2000000000000028</v>
      </c>
      <c r="F192">
        <v>2351</v>
      </c>
      <c r="G192">
        <f>119+131</f>
        <v>250</v>
      </c>
      <c r="H192">
        <f t="shared" si="79"/>
        <v>2101</v>
      </c>
      <c r="I192" s="5">
        <f t="shared" si="76"/>
        <v>1554.9737219302438</v>
      </c>
      <c r="J192" s="5">
        <f t="shared" si="73"/>
        <v>429.67017040930091</v>
      </c>
      <c r="K192" s="5">
        <v>325</v>
      </c>
      <c r="L192">
        <f t="shared" si="80"/>
        <v>594</v>
      </c>
      <c r="M192">
        <v>844</v>
      </c>
    </row>
    <row r="193" spans="1:13" x14ac:dyDescent="0.65">
      <c r="A193" s="1">
        <v>42676</v>
      </c>
      <c r="B193">
        <v>74.2</v>
      </c>
      <c r="C193">
        <v>74.099999999999994</v>
      </c>
      <c r="D193">
        <f t="shared" si="77"/>
        <v>74.150000000000006</v>
      </c>
      <c r="E193">
        <f t="shared" si="78"/>
        <v>-8.2000000000000028</v>
      </c>
      <c r="F193">
        <v>2896</v>
      </c>
      <c r="G193">
        <f>952+110+196</f>
        <v>1258</v>
      </c>
      <c r="H193">
        <f t="shared" si="79"/>
        <v>1638</v>
      </c>
      <c r="I193" s="5">
        <f t="shared" si="76"/>
        <v>1554.9737219302438</v>
      </c>
      <c r="J193" s="5">
        <f t="shared" si="73"/>
        <v>429.67017040930091</v>
      </c>
      <c r="K193" s="5">
        <v>834</v>
      </c>
      <c r="L193">
        <f t="shared" si="80"/>
        <v>508</v>
      </c>
      <c r="M193">
        <f>1187+579</f>
        <v>1766</v>
      </c>
    </row>
    <row r="194" spans="1:13" x14ac:dyDescent="0.65">
      <c r="A194" s="1">
        <v>42677</v>
      </c>
      <c r="B194">
        <v>74.900000000000006</v>
      </c>
      <c r="D194">
        <f t="shared" si="77"/>
        <v>74.900000000000006</v>
      </c>
      <c r="E194">
        <f t="shared" si="78"/>
        <v>-7.5</v>
      </c>
      <c r="F194">
        <v>1737</v>
      </c>
      <c r="G194">
        <f>292+143</f>
        <v>435</v>
      </c>
      <c r="H194">
        <f t="shared" si="79"/>
        <v>1302</v>
      </c>
      <c r="I194" s="5">
        <f t="shared" si="76"/>
        <v>1563.0172001911133</v>
      </c>
      <c r="J194" s="5">
        <f t="shared" si="73"/>
        <v>428.59770664118491</v>
      </c>
      <c r="K194" s="5">
        <v>184</v>
      </c>
      <c r="L194">
        <f t="shared" si="80"/>
        <v>917</v>
      </c>
      <c r="M194">
        <v>1352</v>
      </c>
    </row>
    <row r="195" spans="1:13" x14ac:dyDescent="0.65">
      <c r="A195" s="1">
        <v>42678</v>
      </c>
      <c r="B195">
        <v>74</v>
      </c>
      <c r="D195">
        <f t="shared" si="77"/>
        <v>74</v>
      </c>
      <c r="E195">
        <f t="shared" si="78"/>
        <v>-8.4000000000000057</v>
      </c>
      <c r="F195">
        <v>3264</v>
      </c>
      <c r="G195">
        <f>38+657+312</f>
        <v>1007</v>
      </c>
      <c r="H195">
        <f t="shared" si="79"/>
        <v>2257</v>
      </c>
      <c r="I195" s="5">
        <f t="shared" si="76"/>
        <v>1552.6755852842807</v>
      </c>
      <c r="J195" s="5">
        <f t="shared" ref="J195:J200" si="81">1911+(I195*1.3-1911)*2/3-I195</f>
        <v>429.97658862876256</v>
      </c>
      <c r="K195" s="5">
        <v>458</v>
      </c>
      <c r="L195">
        <f t="shared" si="80"/>
        <v>920</v>
      </c>
      <c r="M195">
        <v>1927</v>
      </c>
    </row>
    <row r="196" spans="1:13" x14ac:dyDescent="0.65">
      <c r="A196" s="1">
        <v>42679</v>
      </c>
      <c r="B196">
        <v>75.3</v>
      </c>
      <c r="D196">
        <f t="shared" si="77"/>
        <v>75.3</v>
      </c>
      <c r="E196">
        <f t="shared" si="78"/>
        <v>-7.1000000000000085</v>
      </c>
      <c r="F196">
        <v>2503</v>
      </c>
      <c r="G196">
        <f>740+453</f>
        <v>1193</v>
      </c>
      <c r="H196">
        <f t="shared" si="79"/>
        <v>1310</v>
      </c>
      <c r="I196" s="5">
        <f t="shared" si="76"/>
        <v>1567.6134734830387</v>
      </c>
      <c r="J196" s="5">
        <f t="shared" si="81"/>
        <v>427.98487020226162</v>
      </c>
      <c r="K196" s="5">
        <v>510</v>
      </c>
      <c r="L196">
        <f t="shared" si="80"/>
        <v>563</v>
      </c>
      <c r="M196">
        <v>1756</v>
      </c>
    </row>
    <row r="197" spans="1:13" x14ac:dyDescent="0.65">
      <c r="A197" s="1">
        <v>42680</v>
      </c>
      <c r="B197">
        <v>74.3</v>
      </c>
      <c r="C197">
        <v>73.8</v>
      </c>
      <c r="D197">
        <f t="shared" si="77"/>
        <v>74.05</v>
      </c>
      <c r="E197">
        <f t="shared" si="78"/>
        <v>-8.1000000000000085</v>
      </c>
      <c r="F197">
        <v>2218</v>
      </c>
      <c r="G197">
        <f>357+117</f>
        <v>474</v>
      </c>
      <c r="H197">
        <f t="shared" si="79"/>
        <v>1744</v>
      </c>
      <c r="I197" s="5">
        <f t="shared" si="76"/>
        <v>1556.122790253225</v>
      </c>
      <c r="J197" s="5">
        <f t="shared" si="81"/>
        <v>429.51696129957008</v>
      </c>
      <c r="K197" s="5">
        <v>788</v>
      </c>
      <c r="L197">
        <f t="shared" si="80"/>
        <v>668</v>
      </c>
      <c r="M197">
        <v>1142</v>
      </c>
    </row>
    <row r="198" spans="1:13" x14ac:dyDescent="0.65">
      <c r="A198" s="1">
        <v>42681</v>
      </c>
      <c r="B198">
        <v>73.2</v>
      </c>
      <c r="D198">
        <f t="shared" si="77"/>
        <v>73.2</v>
      </c>
      <c r="E198">
        <f t="shared" si="78"/>
        <v>-9.2000000000000028</v>
      </c>
      <c r="F198">
        <v>2761</v>
      </c>
      <c r="G198">
        <f>238+110+312</f>
        <v>660</v>
      </c>
      <c r="H198">
        <f t="shared" si="79"/>
        <v>2101</v>
      </c>
      <c r="I198" s="5">
        <f t="shared" si="76"/>
        <v>1543.4830387004299</v>
      </c>
      <c r="J198" s="5">
        <f t="shared" si="81"/>
        <v>431.20226150660937</v>
      </c>
      <c r="K198" s="5">
        <v>803</v>
      </c>
      <c r="L198">
        <f t="shared" si="80"/>
        <v>1025</v>
      </c>
      <c r="M198">
        <v>1685</v>
      </c>
    </row>
    <row r="199" spans="1:13" x14ac:dyDescent="0.65">
      <c r="A199" s="1">
        <v>42682</v>
      </c>
      <c r="B199">
        <v>74.3</v>
      </c>
      <c r="D199">
        <f t="shared" si="77"/>
        <v>74.3</v>
      </c>
      <c r="E199">
        <f t="shared" si="78"/>
        <v>-8.1000000000000085</v>
      </c>
      <c r="F199">
        <v>2155</v>
      </c>
      <c r="G199">
        <f>119+175</f>
        <v>294</v>
      </c>
      <c r="H199">
        <f t="shared" si="79"/>
        <v>1861</v>
      </c>
      <c r="I199" s="5">
        <f t="shared" si="76"/>
        <v>1556.122790253225</v>
      </c>
      <c r="J199" s="5">
        <f t="shared" si="81"/>
        <v>429.51696129957008</v>
      </c>
      <c r="K199" s="5">
        <v>457</v>
      </c>
      <c r="L199">
        <f t="shared" si="80"/>
        <v>948</v>
      </c>
      <c r="M199">
        <v>1242</v>
      </c>
    </row>
    <row r="200" spans="1:13" x14ac:dyDescent="0.65">
      <c r="A200" s="13">
        <v>42683</v>
      </c>
      <c r="B200" s="14">
        <v>73.900000000000006</v>
      </c>
      <c r="C200" s="14">
        <v>73.099999999999994</v>
      </c>
      <c r="D200" s="14">
        <f t="shared" si="77"/>
        <v>73.5</v>
      </c>
      <c r="E200" s="14">
        <f t="shared" si="78"/>
        <v>-8.5</v>
      </c>
      <c r="F200" s="14">
        <v>2924</v>
      </c>
      <c r="G200">
        <f>72+119+518+200</f>
        <v>909</v>
      </c>
      <c r="H200">
        <f t="shared" ref="H200:H206" si="82">F200-G200</f>
        <v>2015</v>
      </c>
      <c r="I200" s="5">
        <f t="shared" ref="I200:I207" si="83">((0.1238+(0.0481*B200+(0.0234*175)-(0.0138*53)-0.5473*1))*1000/4.186)</f>
        <v>1551.5265169612996</v>
      </c>
      <c r="J200" s="5">
        <f t="shared" ref="J200:J207" si="84">1911+(I200*1.3-1911)*2/3-I200</f>
        <v>430.12979773849338</v>
      </c>
      <c r="K200" s="5">
        <v>574</v>
      </c>
      <c r="L200">
        <f t="shared" ref="L200:L206" si="85">M200-G200</f>
        <v>1201</v>
      </c>
      <c r="M200">
        <f>1600+510</f>
        <v>2110</v>
      </c>
    </row>
    <row r="201" spans="1:13" x14ac:dyDescent="0.65">
      <c r="A201" s="1">
        <v>42684</v>
      </c>
      <c r="B201">
        <v>74.2</v>
      </c>
      <c r="D201">
        <f t="shared" si="77"/>
        <v>74.2</v>
      </c>
      <c r="E201">
        <f t="shared" si="78"/>
        <v>-8.2000000000000028</v>
      </c>
      <c r="F201">
        <v>2824</v>
      </c>
      <c r="G201">
        <f>714+146</f>
        <v>860</v>
      </c>
      <c r="H201">
        <f t="shared" si="82"/>
        <v>1964</v>
      </c>
      <c r="I201" s="5">
        <f t="shared" si="83"/>
        <v>1554.9737219302438</v>
      </c>
      <c r="J201" s="5">
        <f t="shared" si="84"/>
        <v>429.67017040930091</v>
      </c>
      <c r="K201" s="5">
        <v>430</v>
      </c>
      <c r="L201">
        <f t="shared" si="85"/>
        <v>1214</v>
      </c>
      <c r="M201">
        <f>1693+381</f>
        <v>2074</v>
      </c>
    </row>
    <row r="202" spans="1:13" x14ac:dyDescent="0.65">
      <c r="A202" s="1">
        <v>42685</v>
      </c>
      <c r="B202">
        <v>75.099999999999994</v>
      </c>
      <c r="D202">
        <f t="shared" si="77"/>
        <v>75.099999999999994</v>
      </c>
      <c r="E202">
        <f t="shared" si="78"/>
        <v>-7.3000000000000114</v>
      </c>
      <c r="F202">
        <v>2198</v>
      </c>
      <c r="G202">
        <f>518+312</f>
        <v>830</v>
      </c>
      <c r="H202">
        <f t="shared" si="82"/>
        <v>1368</v>
      </c>
      <c r="I202" s="5">
        <f t="shared" si="83"/>
        <v>1565.3153368370758</v>
      </c>
      <c r="J202" s="5">
        <f t="shared" si="84"/>
        <v>428.29128842172327</v>
      </c>
      <c r="K202" s="5">
        <v>147</v>
      </c>
      <c r="L202">
        <f t="shared" si="85"/>
        <v>598</v>
      </c>
      <c r="M202">
        <f>1039+389</f>
        <v>1428</v>
      </c>
    </row>
    <row r="203" spans="1:13" x14ac:dyDescent="0.65">
      <c r="A203" s="1">
        <v>42686</v>
      </c>
      <c r="B203">
        <v>74.099999999999994</v>
      </c>
      <c r="D203">
        <f t="shared" ref="D203" si="86">IF(C203=0,B203,(B203+C203)/2)</f>
        <v>74.099999999999994</v>
      </c>
      <c r="E203">
        <f t="shared" ref="E203:E207" si="87">B203-$B$2</f>
        <v>-8.3000000000000114</v>
      </c>
      <c r="F203">
        <v>1667</v>
      </c>
      <c r="G203">
        <f>119+278+110</f>
        <v>507</v>
      </c>
      <c r="H203">
        <f t="shared" ref="H203" si="88">F203-G203</f>
        <v>1160</v>
      </c>
      <c r="I203" s="5">
        <f t="shared" ref="I203" si="89">((0.1238+(0.0481*B203+(0.0234*175)-(0.0138*53)-0.5473*1))*1000/4.186)</f>
        <v>1553.8246536072625</v>
      </c>
      <c r="J203" s="5">
        <f t="shared" ref="J203" si="90">1911+(I203*1.3-1911)*2/3-I203</f>
        <v>429.82337951903173</v>
      </c>
      <c r="K203" s="5">
        <v>845</v>
      </c>
      <c r="L203">
        <f t="shared" ref="L203" si="91">M203-G203</f>
        <v>506</v>
      </c>
      <c r="M203">
        <v>1013</v>
      </c>
    </row>
    <row r="204" spans="1:13" x14ac:dyDescent="0.65">
      <c r="A204" s="1">
        <v>42687</v>
      </c>
      <c r="B204">
        <v>73.7</v>
      </c>
      <c r="D204">
        <f t="shared" si="77"/>
        <v>73.7</v>
      </c>
      <c r="E204">
        <f t="shared" si="87"/>
        <v>-8.7000000000000028</v>
      </c>
      <c r="F204">
        <v>2271</v>
      </c>
      <c r="G204">
        <f>302+238</f>
        <v>540</v>
      </c>
      <c r="H204">
        <f t="shared" si="82"/>
        <v>1731</v>
      </c>
      <c r="I204" s="5">
        <f t="shared" si="83"/>
        <v>1549.2283803153371</v>
      </c>
      <c r="J204" s="5">
        <f t="shared" si="84"/>
        <v>430.43621595795503</v>
      </c>
      <c r="K204" s="5">
        <v>176</v>
      </c>
      <c r="L204">
        <f t="shared" si="85"/>
        <v>1019</v>
      </c>
      <c r="M204">
        <f>1559</f>
        <v>1559</v>
      </c>
    </row>
    <row r="205" spans="1:13" x14ac:dyDescent="0.65">
      <c r="A205" s="1">
        <v>42688</v>
      </c>
      <c r="B205">
        <v>74.099999999999994</v>
      </c>
      <c r="D205">
        <f t="shared" si="77"/>
        <v>74.099999999999994</v>
      </c>
      <c r="E205">
        <f t="shared" si="87"/>
        <v>-8.3000000000000114</v>
      </c>
      <c r="F205">
        <v>2106</v>
      </c>
      <c r="G205">
        <f>389</f>
        <v>389</v>
      </c>
      <c r="H205">
        <f t="shared" si="82"/>
        <v>1717</v>
      </c>
      <c r="I205" s="5">
        <f t="shared" si="83"/>
        <v>1553.8246536072625</v>
      </c>
      <c r="J205" s="5">
        <f t="shared" si="84"/>
        <v>429.82337951903173</v>
      </c>
      <c r="K205" s="5">
        <v>25</v>
      </c>
      <c r="L205">
        <f t="shared" si="85"/>
        <v>554</v>
      </c>
      <c r="M205">
        <v>943</v>
      </c>
    </row>
    <row r="206" spans="1:13" x14ac:dyDescent="0.65">
      <c r="A206" s="1">
        <v>42689</v>
      </c>
      <c r="B206">
        <v>73.7</v>
      </c>
      <c r="D206">
        <f t="shared" si="77"/>
        <v>73.7</v>
      </c>
      <c r="E206">
        <f t="shared" si="87"/>
        <v>-8.7000000000000028</v>
      </c>
      <c r="F206">
        <v>3399</v>
      </c>
      <c r="G206">
        <f>200+555+312+146</f>
        <v>1213</v>
      </c>
      <c r="H206">
        <f t="shared" si="82"/>
        <v>2186</v>
      </c>
      <c r="I206" s="5">
        <f t="shared" si="83"/>
        <v>1549.2283803153371</v>
      </c>
      <c r="J206" s="5">
        <f t="shared" si="84"/>
        <v>430.43621595795503</v>
      </c>
      <c r="K206" s="5">
        <v>309</v>
      </c>
      <c r="L206">
        <f t="shared" si="85"/>
        <v>1253</v>
      </c>
      <c r="M206">
        <f>1644+822</f>
        <v>2466</v>
      </c>
    </row>
    <row r="207" spans="1:13" x14ac:dyDescent="0.65">
      <c r="A207" s="11">
        <v>42690</v>
      </c>
      <c r="B207" s="12">
        <v>74.7</v>
      </c>
      <c r="C207" s="12"/>
      <c r="D207" s="12">
        <f t="shared" si="77"/>
        <v>74.7</v>
      </c>
      <c r="E207" s="12">
        <f t="shared" si="87"/>
        <v>-7.7000000000000028</v>
      </c>
      <c r="I207" s="5">
        <f t="shared" si="83"/>
        <v>1560.7190635451504</v>
      </c>
      <c r="J207" s="5">
        <f t="shared" si="84"/>
        <v>428.90412486064679</v>
      </c>
    </row>
    <row r="208" spans="1:13" x14ac:dyDescent="0.65">
      <c r="A208" s="1">
        <v>42691</v>
      </c>
    </row>
    <row r="209" spans="1:1" x14ac:dyDescent="0.65">
      <c r="A209" s="1">
        <v>42692</v>
      </c>
    </row>
    <row r="210" spans="1:1" x14ac:dyDescent="0.65">
      <c r="A210" s="1">
        <v>42693</v>
      </c>
    </row>
    <row r="211" spans="1:1" x14ac:dyDescent="0.65">
      <c r="A211" s="1">
        <v>42694</v>
      </c>
    </row>
    <row r="212" spans="1:1" x14ac:dyDescent="0.65">
      <c r="A212" s="1">
        <v>42695</v>
      </c>
    </row>
    <row r="213" spans="1:1" x14ac:dyDescent="0.65">
      <c r="A213" s="1">
        <v>42696</v>
      </c>
    </row>
    <row r="214" spans="1:1" x14ac:dyDescent="0.65">
      <c r="A214" s="1">
        <v>42697</v>
      </c>
    </row>
    <row r="215" spans="1:1" x14ac:dyDescent="0.65">
      <c r="A215" s="1">
        <v>42698</v>
      </c>
    </row>
    <row r="216" spans="1:1" x14ac:dyDescent="0.65">
      <c r="A216" s="1">
        <v>42699</v>
      </c>
    </row>
    <row r="217" spans="1:1" x14ac:dyDescent="0.65">
      <c r="A217" s="1">
        <v>42700</v>
      </c>
    </row>
    <row r="218" spans="1:1" x14ac:dyDescent="0.65">
      <c r="A218" s="1">
        <v>42701</v>
      </c>
    </row>
    <row r="219" spans="1:1" x14ac:dyDescent="0.65">
      <c r="A219" s="1">
        <v>42702</v>
      </c>
    </row>
    <row r="220" spans="1:1" x14ac:dyDescent="0.65">
      <c r="A220" s="1">
        <v>42703</v>
      </c>
    </row>
    <row r="221" spans="1:1" x14ac:dyDescent="0.65">
      <c r="A221" s="1">
        <v>42704</v>
      </c>
    </row>
    <row r="222" spans="1:1" x14ac:dyDescent="0.65">
      <c r="A222" s="1">
        <v>42705</v>
      </c>
    </row>
    <row r="223" spans="1:1" x14ac:dyDescent="0.65">
      <c r="A223" s="1">
        <v>42706</v>
      </c>
    </row>
    <row r="224" spans="1:1" x14ac:dyDescent="0.65">
      <c r="A224" s="1">
        <v>42707</v>
      </c>
    </row>
    <row r="225" spans="1:1" x14ac:dyDescent="0.65">
      <c r="A225" s="1">
        <v>42708</v>
      </c>
    </row>
    <row r="226" spans="1:1" x14ac:dyDescent="0.65">
      <c r="A226" s="1">
        <v>42709</v>
      </c>
    </row>
    <row r="227" spans="1:1" x14ac:dyDescent="0.65">
      <c r="A227" s="1">
        <v>42710</v>
      </c>
    </row>
    <row r="228" spans="1:1" x14ac:dyDescent="0.65">
      <c r="A228" s="1">
        <v>42711</v>
      </c>
    </row>
    <row r="229" spans="1:1" x14ac:dyDescent="0.65">
      <c r="A229" s="1">
        <v>42712</v>
      </c>
    </row>
    <row r="230" spans="1:1" x14ac:dyDescent="0.65">
      <c r="A230" s="1">
        <v>42713</v>
      </c>
    </row>
    <row r="231" spans="1:1" x14ac:dyDescent="0.65">
      <c r="A231" s="1">
        <v>42714</v>
      </c>
    </row>
    <row r="232" spans="1:1" x14ac:dyDescent="0.65">
      <c r="A232" s="1">
        <v>42715</v>
      </c>
    </row>
    <row r="233" spans="1:1" x14ac:dyDescent="0.65">
      <c r="A233" s="1">
        <v>42716</v>
      </c>
    </row>
    <row r="234" spans="1:1" x14ac:dyDescent="0.65">
      <c r="A234" s="1">
        <v>42717</v>
      </c>
    </row>
    <row r="235" spans="1:1" x14ac:dyDescent="0.65">
      <c r="A235" s="1">
        <v>42718</v>
      </c>
    </row>
    <row r="236" spans="1:1" x14ac:dyDescent="0.65">
      <c r="A236" s="1">
        <v>42719</v>
      </c>
    </row>
    <row r="237" spans="1:1" x14ac:dyDescent="0.65">
      <c r="A237" s="1">
        <v>42720</v>
      </c>
    </row>
    <row r="238" spans="1:1" x14ac:dyDescent="0.65">
      <c r="A238" s="1">
        <v>42721</v>
      </c>
    </row>
    <row r="239" spans="1:1" x14ac:dyDescent="0.65">
      <c r="A239" s="1">
        <v>42722</v>
      </c>
    </row>
    <row r="240" spans="1:1" x14ac:dyDescent="0.65">
      <c r="A240" s="1">
        <v>42723</v>
      </c>
    </row>
    <row r="241" spans="1:1" x14ac:dyDescent="0.65">
      <c r="A241" s="1">
        <v>42724</v>
      </c>
    </row>
    <row r="242" spans="1:1" x14ac:dyDescent="0.65">
      <c r="A242" s="1">
        <v>42725</v>
      </c>
    </row>
    <row r="243" spans="1:1" x14ac:dyDescent="0.65">
      <c r="A243" s="1">
        <v>42726</v>
      </c>
    </row>
    <row r="244" spans="1:1" x14ac:dyDescent="0.65">
      <c r="A244" s="1">
        <v>42727</v>
      </c>
    </row>
    <row r="245" spans="1:1" x14ac:dyDescent="0.65">
      <c r="A245" s="1">
        <v>42728</v>
      </c>
    </row>
    <row r="246" spans="1:1" x14ac:dyDescent="0.65">
      <c r="A246" s="1">
        <v>42729</v>
      </c>
    </row>
    <row r="247" spans="1:1" x14ac:dyDescent="0.65">
      <c r="A247" s="1">
        <v>42730</v>
      </c>
    </row>
    <row r="248" spans="1:1" x14ac:dyDescent="0.65">
      <c r="A248" s="1">
        <v>42731</v>
      </c>
    </row>
    <row r="249" spans="1:1" x14ac:dyDescent="0.65">
      <c r="A249" s="1">
        <v>42732</v>
      </c>
    </row>
    <row r="250" spans="1:1" x14ac:dyDescent="0.65">
      <c r="A250" s="1">
        <v>42733</v>
      </c>
    </row>
    <row r="251" spans="1:1" x14ac:dyDescent="0.65">
      <c r="A251" s="1">
        <v>42734</v>
      </c>
    </row>
    <row r="252" spans="1:1" x14ac:dyDescent="0.65">
      <c r="A252" s="1">
        <v>42735</v>
      </c>
    </row>
  </sheetData>
  <phoneticPr fontId="1"/>
  <pageMargins left="0.23622047244094491" right="0.23622047244094491" top="0" bottom="0" header="0" footer="0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3"/>
  <sheetViews>
    <sheetView zoomScale="55" zoomScaleNormal="55" workbookViewId="0">
      <selection activeCell="B206" sqref="B2:B206"/>
    </sheetView>
  </sheetViews>
  <sheetFormatPr defaultRowHeight="18.45" x14ac:dyDescent="0.65"/>
  <cols>
    <col min="1" max="1" width="12.85546875" customWidth="1"/>
    <col min="2" max="2" width="15" style="16" customWidth="1"/>
    <col min="3" max="3" width="15" customWidth="1"/>
    <col min="23" max="23" width="9.140625" customWidth="1"/>
    <col min="24" max="24" width="14.5" customWidth="1"/>
    <col min="25" max="25" width="9.140625" customWidth="1"/>
    <col min="27" max="27" width="6.640625" customWidth="1"/>
    <col min="29" max="29" width="222.2109375" customWidth="1"/>
  </cols>
  <sheetData>
    <row r="1" spans="1:3" ht="37.4" customHeight="1" x14ac:dyDescent="0.65">
      <c r="A1" s="10" t="str">
        <f>基データ!A1</f>
        <v>日にち</v>
      </c>
      <c r="B1" s="15" t="s">
        <v>16</v>
      </c>
      <c r="C1" s="10" t="s">
        <v>13</v>
      </c>
    </row>
    <row r="2" spans="1:3" x14ac:dyDescent="0.65">
      <c r="A2" s="9">
        <f>基データ!A2</f>
        <v>42485</v>
      </c>
      <c r="B2" s="16">
        <f>基データ!F2-(基データ!I2+基データ!J2+基データ!K2)</f>
        <v>-1261.304347826087</v>
      </c>
    </row>
    <row r="3" spans="1:3" x14ac:dyDescent="0.65">
      <c r="A3" s="9">
        <f>基データ!A3</f>
        <v>42486</v>
      </c>
      <c r="B3" s="16">
        <f>基データ!F3-(基データ!I3+基データ!J3+基データ!K3)</f>
        <v>198.695652173913</v>
      </c>
      <c r="C3">
        <f>基データ!B3-基データ!B2</f>
        <v>0</v>
      </c>
    </row>
    <row r="4" spans="1:3" x14ac:dyDescent="0.65">
      <c r="A4" s="9">
        <f>基データ!A4</f>
        <v>42487</v>
      </c>
      <c r="B4" s="16">
        <f>基データ!F4-(基データ!I4+基データ!J4+基データ!K4)</f>
        <v>-1192.2795031055898</v>
      </c>
      <c r="C4">
        <f>基データ!B4-基データ!B3</f>
        <v>0.59999999999999432</v>
      </c>
    </row>
    <row r="5" spans="1:3" x14ac:dyDescent="0.65">
      <c r="A5" s="9">
        <f>基データ!A5</f>
        <v>42488</v>
      </c>
      <c r="B5" s="16">
        <f>基データ!F5-(基データ!I5+基データ!J5+基データ!K5)</f>
        <v>-1186.304347826087</v>
      </c>
      <c r="C5">
        <f>基データ!B5-基データ!B4</f>
        <v>-0.59999999999999432</v>
      </c>
    </row>
    <row r="6" spans="1:3" x14ac:dyDescent="0.65">
      <c r="A6" s="9">
        <f>基データ!A6</f>
        <v>42489</v>
      </c>
      <c r="B6" s="16">
        <f>基データ!F6-(基データ!I6+基データ!J6+基データ!K6)</f>
        <v>-1092.3457556935819</v>
      </c>
      <c r="C6">
        <f>基データ!B6-基データ!B5</f>
        <v>-1</v>
      </c>
    </row>
    <row r="7" spans="1:3" x14ac:dyDescent="0.65">
      <c r="A7" s="9">
        <f>基データ!A7</f>
        <v>42490</v>
      </c>
      <c r="B7" s="16">
        <f>基データ!F7-(基データ!I7+基データ!J7+基データ!K7)</f>
        <v>-178.34575569358185</v>
      </c>
      <c r="C7">
        <f>基データ!B7-基データ!B6</f>
        <v>0</v>
      </c>
    </row>
    <row r="8" spans="1:3" x14ac:dyDescent="0.65">
      <c r="A8" s="9">
        <f>基データ!A8</f>
        <v>42491</v>
      </c>
      <c r="B8" s="16">
        <f>基データ!F8-(基データ!I8+基データ!J8+基データ!K8)</f>
        <v>661.65424430641815</v>
      </c>
      <c r="C8">
        <f>基データ!B8-基データ!B7</f>
        <v>0</v>
      </c>
    </row>
    <row r="9" spans="1:3" x14ac:dyDescent="0.65">
      <c r="A9" s="9">
        <f>基データ!A9</f>
        <v>42492</v>
      </c>
      <c r="B9" s="16">
        <f>基データ!F9-(基データ!I9+基データ!J9+基データ!K9)</f>
        <v>-967.33747412008279</v>
      </c>
      <c r="C9">
        <f>基データ!B9-基データ!B8</f>
        <v>0.19999999999998863</v>
      </c>
    </row>
    <row r="10" spans="1:3" x14ac:dyDescent="0.65">
      <c r="A10" s="9">
        <f>基データ!A10</f>
        <v>42493</v>
      </c>
      <c r="B10" s="16">
        <f>基データ!F10-(基データ!I10+基データ!J10+基データ!K10)</f>
        <v>-349.37060041407904</v>
      </c>
      <c r="C10">
        <f>基データ!B10-基データ!B9</f>
        <v>-0.79999999999999716</v>
      </c>
    </row>
    <row r="11" spans="1:3" x14ac:dyDescent="0.65">
      <c r="A11" s="9">
        <f>基データ!A11</f>
        <v>42494</v>
      </c>
      <c r="B11" s="16">
        <f>基データ!F11-(基データ!I11+基データ!J11+基データ!K11)</f>
        <v>-927.37060041407904</v>
      </c>
      <c r="C11">
        <f>基データ!B11-基データ!B10</f>
        <v>0</v>
      </c>
    </row>
    <row r="12" spans="1:3" x14ac:dyDescent="0.65">
      <c r="A12" s="9">
        <f>基データ!A12</f>
        <v>42495</v>
      </c>
      <c r="B12" s="16">
        <f>基データ!F12-(基データ!I12+基データ!J12+基データ!K12)</f>
        <v>-496.37060041407904</v>
      </c>
      <c r="C12">
        <f>基データ!B12-基データ!B11</f>
        <v>0</v>
      </c>
    </row>
    <row r="13" spans="1:3" x14ac:dyDescent="0.65">
      <c r="A13" s="9">
        <f>基データ!A13</f>
        <v>42496</v>
      </c>
      <c r="B13" s="16">
        <f>基データ!F13-(基データ!I13+基データ!J13+基データ!K13)</f>
        <v>-38.370600414079036</v>
      </c>
      <c r="C13">
        <f>基データ!B13-基データ!B12</f>
        <v>0</v>
      </c>
    </row>
    <row r="14" spans="1:3" x14ac:dyDescent="0.65">
      <c r="A14" s="9">
        <f>基データ!A14</f>
        <v>42497</v>
      </c>
      <c r="B14" s="16">
        <f>基データ!F14-(基データ!I14+基データ!J14+基データ!K14)</f>
        <v>-1297.3498964803316</v>
      </c>
      <c r="C14">
        <f>基データ!B14-基データ!B13</f>
        <v>0.5</v>
      </c>
    </row>
    <row r="15" spans="1:3" x14ac:dyDescent="0.65">
      <c r="A15" s="9">
        <f>基データ!A15</f>
        <v>42498</v>
      </c>
      <c r="B15" s="16">
        <f>基データ!F15-(基データ!I15+基データ!J15+基データ!K15)</f>
        <v>-606.37888198757764</v>
      </c>
      <c r="C15">
        <f>基データ!B15-基データ!B14</f>
        <v>-0.70000000000000284</v>
      </c>
    </row>
    <row r="16" spans="1:3" x14ac:dyDescent="0.65">
      <c r="A16" s="9">
        <f>基データ!A16</f>
        <v>42499</v>
      </c>
      <c r="B16" s="16">
        <f>基データ!F16-(基データ!I16+基データ!J16+基データ!K16)</f>
        <v>1131.6211180124224</v>
      </c>
      <c r="C16">
        <f>基データ!B16-基データ!B15</f>
        <v>0</v>
      </c>
    </row>
    <row r="17" spans="1:3" x14ac:dyDescent="0.65">
      <c r="A17" s="9">
        <f>基データ!A17</f>
        <v>42500</v>
      </c>
      <c r="B17" s="16">
        <f>基データ!F17-(基データ!I17+基データ!J17+基データ!K17)</f>
        <v>-135.37888198757764</v>
      </c>
      <c r="C17">
        <f>基データ!B17-基データ!B16</f>
        <v>0</v>
      </c>
    </row>
    <row r="18" spans="1:3" x14ac:dyDescent="0.65">
      <c r="A18" s="9">
        <f>基データ!A18</f>
        <v>42501</v>
      </c>
      <c r="B18" s="16">
        <f>基データ!F18-(基データ!I18+基データ!J18+基データ!K18)</f>
        <v>-831.37888198757764</v>
      </c>
      <c r="C18">
        <f>基データ!B18-基データ!B17</f>
        <v>0</v>
      </c>
    </row>
    <row r="19" spans="1:3" x14ac:dyDescent="0.65">
      <c r="A19" s="9">
        <f>基データ!A19</f>
        <v>42502</v>
      </c>
      <c r="B19" s="16">
        <f>基データ!F19-(基データ!I19+基データ!J19+基データ!K19)</f>
        <v>-683.41200828157343</v>
      </c>
      <c r="C19">
        <f>基データ!B19-基データ!B18</f>
        <v>-0.79999999999999716</v>
      </c>
    </row>
    <row r="20" spans="1:3" x14ac:dyDescent="0.65">
      <c r="A20" s="9">
        <f>基データ!A20</f>
        <v>42503</v>
      </c>
      <c r="B20" s="16">
        <f>基データ!F20-(基データ!I20+基データ!J20+基データ!K20)</f>
        <v>-225.41200828157343</v>
      </c>
      <c r="C20">
        <f>基データ!B20-基データ!B19</f>
        <v>0</v>
      </c>
    </row>
    <row r="21" spans="1:3" x14ac:dyDescent="0.65">
      <c r="A21" s="9">
        <f>基データ!A21</f>
        <v>42504</v>
      </c>
      <c r="B21" s="16">
        <f>基データ!F21-(基データ!I21+基データ!J21+基データ!K21)</f>
        <v>611.58799171842657</v>
      </c>
      <c r="C21">
        <f>基データ!B21-基データ!B20</f>
        <v>0</v>
      </c>
    </row>
    <row r="22" spans="1:3" x14ac:dyDescent="0.65">
      <c r="A22" s="9">
        <f>基データ!A22</f>
        <v>42505</v>
      </c>
      <c r="B22" s="16">
        <f>基データ!F22-(基データ!I22+基データ!J22+基データ!K22)</f>
        <v>-401.41200828157343</v>
      </c>
      <c r="C22">
        <f>基データ!B22-基データ!B21</f>
        <v>0</v>
      </c>
    </row>
    <row r="23" spans="1:3" x14ac:dyDescent="0.65">
      <c r="A23" s="9">
        <f>基データ!A23</f>
        <v>42506</v>
      </c>
      <c r="B23" s="16">
        <f>基データ!F23-(基データ!I23+基データ!J23+基データ!K23)</f>
        <v>322.56728778467914</v>
      </c>
      <c r="C23">
        <f>基データ!B23-基データ!B22</f>
        <v>-0.5</v>
      </c>
    </row>
    <row r="24" spans="1:3" x14ac:dyDescent="0.65">
      <c r="A24" s="9">
        <f>基データ!A24</f>
        <v>42507</v>
      </c>
      <c r="B24" s="16">
        <f>基データ!F24-(基データ!I24+基データ!J24+基データ!K24)</f>
        <v>1073.5672877846791</v>
      </c>
      <c r="C24">
        <f>基データ!B24-基データ!B23</f>
        <v>0</v>
      </c>
    </row>
    <row r="25" spans="1:3" x14ac:dyDescent="0.65">
      <c r="A25" s="9">
        <f>基データ!A25</f>
        <v>42508</v>
      </c>
      <c r="B25" s="16">
        <f>基データ!F25-(基データ!I25+基データ!J25+基データ!K25)</f>
        <v>-1881.3830227743274</v>
      </c>
      <c r="C25">
        <f>基データ!B25-基データ!B24</f>
        <v>1.2000000000000028</v>
      </c>
    </row>
    <row r="26" spans="1:3" x14ac:dyDescent="0.65">
      <c r="A26" s="9">
        <f>基データ!A26</f>
        <v>42509</v>
      </c>
      <c r="B26" s="16">
        <f>基データ!F26-(基データ!I26+基データ!J26+基データ!K26)</f>
        <v>-1024.4327122153209</v>
      </c>
      <c r="C26">
        <f>基データ!B26-基データ!B25</f>
        <v>-1.2000000000000028</v>
      </c>
    </row>
    <row r="27" spans="1:3" x14ac:dyDescent="0.65">
      <c r="A27" s="9">
        <f>基データ!A27</f>
        <v>42510</v>
      </c>
      <c r="B27" s="16">
        <f>基データ!F27-(基データ!I27+基データ!J27+基データ!K27)</f>
        <v>-127.43271221532086</v>
      </c>
      <c r="C27">
        <f>基データ!B27-基データ!B26</f>
        <v>0</v>
      </c>
    </row>
    <row r="28" spans="1:3" x14ac:dyDescent="0.65">
      <c r="A28" s="9">
        <f>基データ!A28</f>
        <v>42511</v>
      </c>
      <c r="B28" s="16">
        <f>基データ!F28-(基データ!I28+基データ!J28+基データ!K28)</f>
        <v>-783.43271221532086</v>
      </c>
      <c r="C28">
        <f>基データ!B28-基データ!B27</f>
        <v>0</v>
      </c>
    </row>
    <row r="29" spans="1:3" x14ac:dyDescent="0.65">
      <c r="A29" s="9">
        <f>基データ!A29</f>
        <v>42512</v>
      </c>
      <c r="B29" s="16">
        <f>基データ!F29-(基データ!I29+基データ!J29+基データ!K29)</f>
        <v>-689.44513457556968</v>
      </c>
      <c r="C29">
        <f>基データ!B29-基データ!B28</f>
        <v>-0.29999999999999716</v>
      </c>
    </row>
    <row r="30" spans="1:3" x14ac:dyDescent="0.65">
      <c r="A30" s="9">
        <f>基データ!A30</f>
        <v>42513</v>
      </c>
      <c r="B30" s="16">
        <f>基データ!F30-(基データ!I30+基データ!J30+基データ!K30)</f>
        <v>423.54658385093171</v>
      </c>
      <c r="C30">
        <f>基データ!B30-基データ!B29</f>
        <v>-0.20000000000000284</v>
      </c>
    </row>
    <row r="31" spans="1:3" x14ac:dyDescent="0.65">
      <c r="A31" s="9">
        <f>基データ!A31</f>
        <v>42514</v>
      </c>
      <c r="B31" s="16">
        <f>基データ!F31-(基データ!I31+基データ!J31+基データ!K31)</f>
        <v>-987.43685300207017</v>
      </c>
      <c r="C31">
        <f>基データ!B31-基データ!B30</f>
        <v>0.40000000000000568</v>
      </c>
    </row>
    <row r="32" spans="1:3" x14ac:dyDescent="0.65">
      <c r="A32" s="9">
        <f>基データ!A32</f>
        <v>42515</v>
      </c>
      <c r="B32" s="16">
        <f>基データ!F32-(基データ!I32+基データ!J32+基データ!K32)</f>
        <v>-286.46997929606641</v>
      </c>
      <c r="C32">
        <f>基データ!B32-基データ!B31</f>
        <v>-0.79999999999999716</v>
      </c>
    </row>
    <row r="33" spans="1:3" x14ac:dyDescent="0.65">
      <c r="A33" s="9">
        <f>基データ!A33</f>
        <v>42516</v>
      </c>
      <c r="B33" s="16">
        <f>基データ!F33-(基データ!I33+基データ!J33+基データ!K33)</f>
        <v>-635.44927536231899</v>
      </c>
      <c r="C33">
        <f>基データ!B33-基データ!B32</f>
        <v>0.5</v>
      </c>
    </row>
    <row r="34" spans="1:3" x14ac:dyDescent="0.65">
      <c r="A34" s="9">
        <f>基データ!A34</f>
        <v>42517</v>
      </c>
      <c r="B34" s="16">
        <f>基データ!F34-(基データ!I34+基データ!J34+基データ!K34)</f>
        <v>-252.47826086956502</v>
      </c>
      <c r="C34">
        <f>基データ!B34-基データ!B33</f>
        <v>-0.70000000000000284</v>
      </c>
    </row>
    <row r="35" spans="1:3" x14ac:dyDescent="0.65">
      <c r="A35" s="9">
        <f>基データ!A35</f>
        <v>42518</v>
      </c>
      <c r="B35" s="16">
        <f>基データ!F35-(基データ!I35+基データ!J35+基データ!K35)</f>
        <v>-441.45755693581759</v>
      </c>
      <c r="C35">
        <f>基データ!B35-基データ!B34</f>
        <v>0.5</v>
      </c>
    </row>
    <row r="36" spans="1:3" x14ac:dyDescent="0.65">
      <c r="A36" s="9">
        <f>基データ!A36</f>
        <v>42519</v>
      </c>
      <c r="B36" s="16">
        <f>基データ!F36-(基データ!I36+基データ!J36+基データ!K36)</f>
        <v>-1429.4575569358176</v>
      </c>
      <c r="C36">
        <f>基データ!B36-基データ!B35</f>
        <v>0</v>
      </c>
    </row>
    <row r="37" spans="1:3" x14ac:dyDescent="0.65">
      <c r="A37" s="9">
        <f>基データ!A37</f>
        <v>42520</v>
      </c>
      <c r="B37" s="16">
        <f>基データ!F37-(基データ!I37+基データ!J37+基データ!K37)</f>
        <v>-340.46997929606641</v>
      </c>
      <c r="C37">
        <f>基データ!B37-基データ!B36</f>
        <v>-0.29999999999999716</v>
      </c>
    </row>
    <row r="38" spans="1:3" x14ac:dyDescent="0.65">
      <c r="A38" s="9">
        <f>基データ!A38</f>
        <v>42521</v>
      </c>
      <c r="B38" s="16">
        <f>基データ!F38-(基データ!I38+基データ!J38+基データ!K38)</f>
        <v>270.53002070393359</v>
      </c>
      <c r="C38">
        <f>基データ!B38-基データ!B37</f>
        <v>0</v>
      </c>
    </row>
    <row r="39" spans="1:3" x14ac:dyDescent="0.65">
      <c r="A39" s="9">
        <f>基データ!A39</f>
        <v>42522</v>
      </c>
      <c r="B39" s="16">
        <f>基データ!F39-(基データ!I39+基データ!J39+基データ!K39)</f>
        <v>-691.43685300207017</v>
      </c>
      <c r="C39">
        <f>基データ!B39-基データ!B38</f>
        <v>0.79999999999999716</v>
      </c>
    </row>
    <row r="40" spans="1:3" x14ac:dyDescent="0.65">
      <c r="A40" s="9">
        <f>基データ!A40</f>
        <v>42523</v>
      </c>
      <c r="B40" s="16">
        <f>基データ!F40-(基データ!I40+基データ!J40+基データ!K40)</f>
        <v>-168.46997929606641</v>
      </c>
      <c r="C40">
        <f>基データ!B40-基データ!B39</f>
        <v>-0.79999999999999716</v>
      </c>
    </row>
    <row r="41" spans="1:3" x14ac:dyDescent="0.65">
      <c r="A41" s="9">
        <f>基データ!A41</f>
        <v>42524</v>
      </c>
      <c r="B41" s="16">
        <f>基データ!F41-(基データ!I41+基データ!J41+基データ!K41)</f>
        <v>528.52587991718428</v>
      </c>
      <c r="C41">
        <f>基データ!B41-基データ!B40</f>
        <v>-0.10000000000000853</v>
      </c>
    </row>
    <row r="42" spans="1:3" x14ac:dyDescent="0.65">
      <c r="A42" s="9">
        <f>基データ!A42</f>
        <v>42525</v>
      </c>
      <c r="B42" s="16">
        <f>基データ!F42-(基データ!I42+基データ!J42+基データ!K42)</f>
        <v>-303.46997929606641</v>
      </c>
      <c r="C42">
        <f>基データ!B42-基データ!B41</f>
        <v>0.10000000000000853</v>
      </c>
    </row>
    <row r="43" spans="1:3" x14ac:dyDescent="0.65">
      <c r="A43" s="9">
        <f>基データ!A43</f>
        <v>42526</v>
      </c>
      <c r="B43" s="16">
        <f>基データ!F43-(基データ!I43+基データ!J43+基データ!K43)</f>
        <v>-38.453416149068289</v>
      </c>
      <c r="C43">
        <f>基データ!B43-基データ!B42</f>
        <v>0.39999999999999147</v>
      </c>
    </row>
    <row r="44" spans="1:3" x14ac:dyDescent="0.65">
      <c r="A44" s="9">
        <f>基データ!A44</f>
        <v>42527</v>
      </c>
      <c r="B44" s="16">
        <f>基データ!F44-(基データ!I44+基データ!J44+基データ!K44)</f>
        <v>479.54658385093171</v>
      </c>
      <c r="C44">
        <f>基データ!B44-基データ!B43</f>
        <v>0</v>
      </c>
    </row>
    <row r="45" spans="1:3" x14ac:dyDescent="0.65">
      <c r="A45" s="9">
        <f>基データ!A45</f>
        <v>42528</v>
      </c>
      <c r="B45" s="16">
        <f>基データ!F45-(基データ!I45+基データ!J45+基データ!K45)</f>
        <v>-681.43685300207017</v>
      </c>
      <c r="C45">
        <f>基データ!B45-基データ!B44</f>
        <v>0.40000000000000568</v>
      </c>
    </row>
    <row r="46" spans="1:3" x14ac:dyDescent="0.65">
      <c r="A46" s="9">
        <f>基データ!A46</f>
        <v>42529</v>
      </c>
      <c r="B46" s="16">
        <f>基データ!F46-(基データ!I46+基データ!J46+基データ!K46)</f>
        <v>-470.46583850931711</v>
      </c>
      <c r="C46">
        <f>基データ!B46-基データ!B45</f>
        <v>-0.70000000000000284</v>
      </c>
    </row>
    <row r="47" spans="1:3" x14ac:dyDescent="0.65">
      <c r="A47" s="9">
        <f>基データ!A47</f>
        <v>42530</v>
      </c>
      <c r="B47" s="16">
        <f>基データ!F47-(基データ!I47+基データ!J47+基データ!K47)</f>
        <v>-422.46583850931711</v>
      </c>
      <c r="C47">
        <f>基データ!B47-基データ!B46</f>
        <v>0</v>
      </c>
    </row>
    <row r="48" spans="1:3" x14ac:dyDescent="0.65">
      <c r="A48" s="9">
        <f>基データ!A48</f>
        <v>42531</v>
      </c>
      <c r="B48" s="16">
        <f>基データ!F48-(基データ!I48+基データ!J48+基データ!K48)</f>
        <v>-234.49068322981384</v>
      </c>
      <c r="C48">
        <f>基データ!B48-基データ!B47</f>
        <v>-0.59999999999999432</v>
      </c>
    </row>
    <row r="49" spans="1:3" x14ac:dyDescent="0.65">
      <c r="A49" s="9">
        <f>基データ!A49</f>
        <v>42532</v>
      </c>
      <c r="B49" s="16">
        <f>基データ!F49-(基データ!I49+基データ!J49+基データ!K49)</f>
        <v>-79.469979296066413</v>
      </c>
      <c r="C49">
        <f>基データ!B49-基データ!B48</f>
        <v>0.5</v>
      </c>
    </row>
    <row r="50" spans="1:3" x14ac:dyDescent="0.65">
      <c r="A50" s="9">
        <f>基データ!A50</f>
        <v>42533</v>
      </c>
      <c r="B50" s="16">
        <f>基データ!F50-(基データ!I50+基データ!J50+基データ!K50)</f>
        <v>-270.48240165631432</v>
      </c>
      <c r="C50">
        <f>基データ!B50-基データ!B49</f>
        <v>-0.30000000000001137</v>
      </c>
    </row>
    <row r="51" spans="1:3" x14ac:dyDescent="0.65">
      <c r="A51" s="9">
        <f>基データ!A51</f>
        <v>42534</v>
      </c>
      <c r="B51" s="16">
        <f>基データ!F51-(基データ!I51+基データ!J51+基データ!K51)</f>
        <v>103.51759834368568</v>
      </c>
      <c r="C51">
        <f>基データ!B51-基データ!B50</f>
        <v>0</v>
      </c>
    </row>
    <row r="52" spans="1:3" x14ac:dyDescent="0.65">
      <c r="A52" s="9">
        <f>基データ!A52</f>
        <v>42535</v>
      </c>
      <c r="B52" s="16">
        <f>基データ!F52-(基データ!I52+基データ!J52+基データ!K52)</f>
        <v>-238.46583850931711</v>
      </c>
      <c r="C52">
        <f>基データ!B52-基データ!B51</f>
        <v>0.40000000000000568</v>
      </c>
    </row>
    <row r="53" spans="1:3" x14ac:dyDescent="0.65">
      <c r="A53" s="9">
        <f>基データ!A53</f>
        <v>42536</v>
      </c>
      <c r="B53" s="16">
        <f>基データ!F53-(基データ!I53+基データ!J53+基データ!K53)</f>
        <v>-887.44513457556968</v>
      </c>
      <c r="C53">
        <f>基データ!B53-基データ!B52</f>
        <v>0.5</v>
      </c>
    </row>
    <row r="54" spans="1:3" x14ac:dyDescent="0.65">
      <c r="A54" s="9">
        <f>基データ!A54</f>
        <v>42537</v>
      </c>
      <c r="B54" s="16">
        <f>基データ!F54-(基データ!I54+基データ!J54+基データ!K54)</f>
        <v>-600.50310559006266</v>
      </c>
      <c r="C54">
        <f>基データ!B54-基データ!B53</f>
        <v>-1.4000000000000057</v>
      </c>
    </row>
    <row r="55" spans="1:3" x14ac:dyDescent="0.65">
      <c r="A55" s="9">
        <f>基データ!A55</f>
        <v>42538</v>
      </c>
      <c r="B55" s="16">
        <f>基データ!F55-(基データ!I55+基データ!J55+基データ!K55)</f>
        <v>154.49689440993734</v>
      </c>
      <c r="C55">
        <f>基データ!B55-基データ!B54</f>
        <v>0</v>
      </c>
    </row>
    <row r="56" spans="1:3" x14ac:dyDescent="0.65">
      <c r="A56" s="9">
        <f>基データ!A56</f>
        <v>42539</v>
      </c>
      <c r="B56" s="16">
        <f>基データ!F56-(基データ!I56+基データ!J56+基データ!K56)</f>
        <v>-615.48240165631432</v>
      </c>
      <c r="C56">
        <f>基データ!B56-基データ!B55</f>
        <v>0.5</v>
      </c>
    </row>
    <row r="57" spans="1:3" x14ac:dyDescent="0.65">
      <c r="A57" s="9">
        <f>基データ!A57</f>
        <v>42540</v>
      </c>
      <c r="B57" s="16">
        <f>基データ!F57-(基データ!I57+基データ!J57+基データ!K57)</f>
        <v>-884.50724637681196</v>
      </c>
      <c r="C57">
        <f>基データ!B57-基データ!B56</f>
        <v>-0.59999999999999432</v>
      </c>
    </row>
    <row r="58" spans="1:3" x14ac:dyDescent="0.65">
      <c r="A58" s="9">
        <f>基データ!A58</f>
        <v>42541</v>
      </c>
      <c r="B58" s="16">
        <f>基データ!F58-(基データ!I58+基データ!J58+基データ!K58)</f>
        <v>-234.52795031055848</v>
      </c>
      <c r="C58">
        <f>基データ!B58-基データ!B57</f>
        <v>-0.5</v>
      </c>
    </row>
    <row r="59" spans="1:3" x14ac:dyDescent="0.65">
      <c r="A59" s="9">
        <f>基データ!A59</f>
        <v>42542</v>
      </c>
      <c r="B59" s="16">
        <f>基データ!F59-(基データ!I59+基データ!J59+基データ!K59)</f>
        <v>-733.52795031055848</v>
      </c>
      <c r="C59">
        <f>基データ!B59-基データ!B58</f>
        <v>0</v>
      </c>
    </row>
    <row r="60" spans="1:3" x14ac:dyDescent="0.65">
      <c r="A60" s="9">
        <f>基データ!A60</f>
        <v>42543</v>
      </c>
      <c r="B60" s="16">
        <f>基データ!F60-(基データ!I60+基データ!J60+基データ!K60)</f>
        <v>-205.52795031055848</v>
      </c>
      <c r="C60">
        <f>基データ!B60-基データ!B59</f>
        <v>0</v>
      </c>
    </row>
    <row r="61" spans="1:3" x14ac:dyDescent="0.65">
      <c r="A61" s="9">
        <f>基データ!A61</f>
        <v>42544</v>
      </c>
      <c r="B61" s="16">
        <f>基データ!F61-(基データ!I61+基データ!J61+基データ!K61)</f>
        <v>449.4596273291927</v>
      </c>
      <c r="C61">
        <f>基データ!B61-基データ!B60</f>
        <v>-0.29999999999999716</v>
      </c>
    </row>
    <row r="62" spans="1:3" x14ac:dyDescent="0.65">
      <c r="A62" s="9">
        <f>基データ!A62</f>
        <v>42545</v>
      </c>
      <c r="B62" s="16">
        <f>基データ!F62-(基データ!I62+基データ!J62+基データ!K62)</f>
        <v>-531.51552795031057</v>
      </c>
      <c r="C62">
        <f>基データ!B62-基データ!B61</f>
        <v>0.59999999999999432</v>
      </c>
    </row>
    <row r="63" spans="1:3" x14ac:dyDescent="0.65">
      <c r="A63" s="9">
        <f>基データ!A63</f>
        <v>42546</v>
      </c>
      <c r="B63" s="16">
        <f>基データ!F63-(基データ!I63+基データ!J63+基データ!K63)</f>
        <v>-527.53209109730869</v>
      </c>
      <c r="C63">
        <f>基データ!B63-基データ!B62</f>
        <v>-0.39999999999999147</v>
      </c>
    </row>
    <row r="64" spans="1:3" x14ac:dyDescent="0.65">
      <c r="A64" s="9">
        <f>基データ!A64</f>
        <v>42547</v>
      </c>
      <c r="B64" s="16">
        <f>基データ!F64-(基データ!I64+基データ!J64+基データ!K64)</f>
        <v>-701.53209109730869</v>
      </c>
      <c r="C64">
        <f>基データ!B64-基データ!B63</f>
        <v>0</v>
      </c>
    </row>
    <row r="65" spans="1:11" x14ac:dyDescent="0.65">
      <c r="A65" s="9">
        <f>基データ!A65</f>
        <v>42548</v>
      </c>
      <c r="B65" s="16">
        <f>基データ!F65-(基データ!I65+基データ!J65+基データ!K65)</f>
        <v>-414.53209109730869</v>
      </c>
      <c r="C65">
        <f>基データ!B65-基データ!B64</f>
        <v>0</v>
      </c>
    </row>
    <row r="66" spans="1:11" x14ac:dyDescent="0.65">
      <c r="A66" s="9">
        <f>基データ!A66</f>
        <v>42549</v>
      </c>
      <c r="B66" s="16">
        <f>基データ!F66-(基データ!I66+基データ!J66+基データ!K66)</f>
        <v>-389.53209109730869</v>
      </c>
      <c r="C66">
        <f>基データ!B66-基データ!B65</f>
        <v>0</v>
      </c>
    </row>
    <row r="67" spans="1:11" x14ac:dyDescent="0.65">
      <c r="A67" s="9">
        <f>基データ!A67</f>
        <v>42550</v>
      </c>
      <c r="B67" s="16">
        <f>基データ!F67-(基データ!I67+基データ!J67+基データ!K67)</f>
        <v>-560.5445134575566</v>
      </c>
      <c r="C67">
        <f>基データ!B67-基データ!B66</f>
        <v>-0.30000000000001137</v>
      </c>
    </row>
    <row r="68" spans="1:11" x14ac:dyDescent="0.65">
      <c r="A68" s="9">
        <f>基データ!A68</f>
        <v>42551</v>
      </c>
      <c r="B68" s="16">
        <f>基データ!F68-(基データ!I68+基データ!J68+基データ!K68)</f>
        <v>-156.5445134575566</v>
      </c>
      <c r="C68">
        <f>基データ!B68-基データ!B67</f>
        <v>0</v>
      </c>
    </row>
    <row r="69" spans="1:11" x14ac:dyDescent="0.65">
      <c r="A69" s="9">
        <f>基データ!A69</f>
        <v>42552</v>
      </c>
      <c r="B69" s="16">
        <f>基データ!F69-(基データ!I69+基データ!J69+基データ!K69)</f>
        <v>835.463768115942</v>
      </c>
      <c r="C69">
        <f>基データ!B69-基データ!B68</f>
        <v>0.20000000000000284</v>
      </c>
    </row>
    <row r="70" spans="1:11" x14ac:dyDescent="0.65">
      <c r="A70" s="9">
        <f>基データ!A70</f>
        <v>42553</v>
      </c>
      <c r="B70" s="16">
        <f>基データ!F70-(基データ!I70+基データ!J70+基データ!K70)</f>
        <v>-939.50724637681196</v>
      </c>
      <c r="C70">
        <f>基データ!B70-基データ!B69</f>
        <v>0.70000000000000284</v>
      </c>
    </row>
    <row r="71" spans="1:11" x14ac:dyDescent="0.65">
      <c r="A71" s="9">
        <f>基データ!A71</f>
        <v>42554</v>
      </c>
      <c r="B71" s="16">
        <f>基データ!F71-(基データ!I71+基データ!J71+基データ!K71)</f>
        <v>-659.56107660455473</v>
      </c>
      <c r="C71">
        <f>基データ!B71-基データ!B70</f>
        <v>-1.2999999999999972</v>
      </c>
    </row>
    <row r="72" spans="1:11" x14ac:dyDescent="0.65">
      <c r="A72" s="9">
        <f>基データ!A72</f>
        <v>42555</v>
      </c>
      <c r="B72" s="16">
        <f>基データ!F72-(基データ!I72+基データ!J72+基データ!K72)</f>
        <v>135.42650103519645</v>
      </c>
      <c r="C72">
        <f>基データ!B72-基データ!B71</f>
        <v>-0.29999999999999716</v>
      </c>
    </row>
    <row r="73" spans="1:11" x14ac:dyDescent="0.65">
      <c r="A73" s="9">
        <f>基データ!A73</f>
        <v>42556</v>
      </c>
      <c r="B73" s="16">
        <f>基データ!F73-(基データ!I73+基データ!J73+基データ!K73)</f>
        <v>-86.552795031056121</v>
      </c>
      <c r="C73">
        <f>基データ!B73-基データ!B72</f>
        <v>0.5</v>
      </c>
    </row>
    <row r="74" spans="1:11" x14ac:dyDescent="0.65">
      <c r="A74" s="9">
        <f>基データ!A74</f>
        <v>42557</v>
      </c>
      <c r="B74" s="16">
        <f>基データ!F74-(基データ!I74+基データ!J74+基データ!K74)</f>
        <v>55.447204968943879</v>
      </c>
      <c r="C74">
        <f>基データ!B74-基データ!B73</f>
        <v>0</v>
      </c>
    </row>
    <row r="75" spans="1:11" x14ac:dyDescent="0.65">
      <c r="A75" s="9">
        <f>基データ!A75</f>
        <v>42558</v>
      </c>
      <c r="B75" s="16">
        <f>基データ!F75-(基データ!I75+基データ!J75+基データ!K75)</f>
        <v>-374.56521739130403</v>
      </c>
      <c r="C75">
        <f>基データ!B75-基データ!B74</f>
        <v>-0.30000000000001137</v>
      </c>
    </row>
    <row r="76" spans="1:11" x14ac:dyDescent="0.65">
      <c r="A76" s="9">
        <f>基データ!A76</f>
        <v>42559</v>
      </c>
      <c r="B76" s="16">
        <f>基データ!F76-(基データ!I76+基データ!J76+基データ!K76)</f>
        <v>1533.4472049689439</v>
      </c>
      <c r="C76">
        <f>基データ!B76-基データ!B75</f>
        <v>0.30000000000001137</v>
      </c>
    </row>
    <row r="77" spans="1:11" x14ac:dyDescent="0.65">
      <c r="A77" s="9">
        <f>基データ!A77</f>
        <v>42560</v>
      </c>
      <c r="B77" s="16">
        <f>基データ!F77-(基データ!I77+基データ!J77+基データ!K77)</f>
        <v>-379.55279503105612</v>
      </c>
      <c r="C77">
        <f>基データ!B77-基データ!B76</f>
        <v>0</v>
      </c>
    </row>
    <row r="78" spans="1:11" x14ac:dyDescent="0.65">
      <c r="A78" s="9">
        <f>基データ!A78</f>
        <v>42561</v>
      </c>
      <c r="B78" s="16">
        <f>基データ!F78-(基データ!I78+基データ!J78+基データ!K78)</f>
        <v>276.41407867494854</v>
      </c>
      <c r="C78">
        <f>基データ!B78-基データ!B77</f>
        <v>-0.80000000000001137</v>
      </c>
    </row>
    <row r="79" spans="1:11" x14ac:dyDescent="0.65">
      <c r="A79" s="9">
        <f>基データ!A79</f>
        <v>42562</v>
      </c>
      <c r="B79" s="16">
        <f>基データ!F79-(基データ!I79+基データ!J79+基データ!K79)</f>
        <v>-287.56521739130403</v>
      </c>
      <c r="C79">
        <f>基データ!B79-基データ!B78</f>
        <v>0.5</v>
      </c>
      <c r="F79" s="9"/>
      <c r="K79" s="9"/>
    </row>
    <row r="80" spans="1:11" x14ac:dyDescent="0.65">
      <c r="A80" s="9">
        <f>基データ!A80</f>
        <v>42563</v>
      </c>
      <c r="B80" s="16">
        <f>基データ!F80-(基データ!I80+基データ!J80+基データ!K80)</f>
        <v>-319.56521739130403</v>
      </c>
      <c r="C80">
        <f>基データ!B80-基データ!B79</f>
        <v>0</v>
      </c>
      <c r="F80" s="9"/>
      <c r="K80" s="9"/>
    </row>
    <row r="81" spans="1:11" x14ac:dyDescent="0.65">
      <c r="A81" s="9">
        <f>基データ!A81</f>
        <v>42564</v>
      </c>
      <c r="B81" s="16">
        <f>基データ!F81-(基データ!I81+基データ!J81+基データ!K81)</f>
        <v>-494.56521739130403</v>
      </c>
      <c r="C81">
        <f>基データ!B81-基データ!B80</f>
        <v>0</v>
      </c>
      <c r="F81" s="9"/>
      <c r="K81" s="9"/>
    </row>
    <row r="82" spans="1:11" x14ac:dyDescent="0.65">
      <c r="A82" s="9">
        <f>基データ!A82</f>
        <v>42565</v>
      </c>
      <c r="B82" s="16">
        <f>基データ!F82-(基データ!I82+基データ!J82+基データ!K82)</f>
        <v>-36.590062111801672</v>
      </c>
      <c r="C82">
        <f>基データ!B82-基データ!B81</f>
        <v>-0.59999999999999432</v>
      </c>
      <c r="F82" s="9"/>
      <c r="K82" s="9"/>
    </row>
    <row r="83" spans="1:11" x14ac:dyDescent="0.65">
      <c r="A83" s="9">
        <f>基データ!A83</f>
        <v>42566</v>
      </c>
      <c r="B83" s="16">
        <f>基データ!F83-(基データ!I83+基データ!J83+基データ!K83)</f>
        <v>-75.569358178054244</v>
      </c>
      <c r="C83">
        <f>基データ!B83-基データ!B82</f>
        <v>0.5</v>
      </c>
    </row>
    <row r="84" spans="1:11" x14ac:dyDescent="0.65">
      <c r="A84" s="9">
        <f>基データ!A84</f>
        <v>42567</v>
      </c>
      <c r="B84" s="16">
        <f>基データ!F84-(基データ!I84+基データ!J84+基データ!K84)</f>
        <v>-417.56935817805424</v>
      </c>
      <c r="C84">
        <f>基データ!B84-基データ!B83</f>
        <v>0</v>
      </c>
    </row>
    <row r="85" spans="1:11" x14ac:dyDescent="0.65">
      <c r="A85" s="9">
        <f>基データ!A85</f>
        <v>42568</v>
      </c>
      <c r="B85" s="16">
        <f>基データ!F85-(基データ!I85+基データ!J85+基データ!K85)</f>
        <v>-583.62318840579701</v>
      </c>
      <c r="C85">
        <f>基データ!B85-基データ!B84</f>
        <v>-1.2999999999999972</v>
      </c>
    </row>
    <row r="86" spans="1:11" x14ac:dyDescent="0.65">
      <c r="A86" s="9">
        <f>基データ!A86</f>
        <v>42569</v>
      </c>
      <c r="B86" s="16">
        <f>基データ!F86-(基データ!I86+基データ!J86+基データ!K86)</f>
        <v>-809.60248447204958</v>
      </c>
      <c r="C86">
        <f>基データ!B86-基データ!B85</f>
        <v>0.5</v>
      </c>
    </row>
    <row r="87" spans="1:11" x14ac:dyDescent="0.65">
      <c r="A87" s="9">
        <f>基データ!A87</f>
        <v>42570</v>
      </c>
      <c r="B87" s="16">
        <f>基データ!F87-(基データ!I87+基データ!J87+基データ!K87)</f>
        <v>207.40165631469972</v>
      </c>
      <c r="C87">
        <f>基データ!B87-基データ!B86</f>
        <v>9.9999999999994316E-2</v>
      </c>
    </row>
    <row r="88" spans="1:11" x14ac:dyDescent="0.65">
      <c r="A88" s="9">
        <f>基データ!A88</f>
        <v>42571</v>
      </c>
      <c r="B88" s="16">
        <f>基データ!F88-(基データ!I88+基データ!J88+基データ!K88)</f>
        <v>-499.6149068322984</v>
      </c>
      <c r="C88">
        <f>基データ!B88-基データ!B87</f>
        <v>-0.39999999999999147</v>
      </c>
    </row>
    <row r="89" spans="1:11" x14ac:dyDescent="0.65">
      <c r="A89" s="9">
        <f>基データ!A89</f>
        <v>42572</v>
      </c>
      <c r="B89" s="16">
        <f>基データ!F89-(基データ!I89+基データ!J89+基データ!K89)</f>
        <v>324.3850931677016</v>
      </c>
      <c r="C89">
        <f>基データ!B89-基データ!B88</f>
        <v>0</v>
      </c>
    </row>
    <row r="90" spans="1:11" x14ac:dyDescent="0.65">
      <c r="A90" s="9">
        <f>基データ!A90</f>
        <v>42573</v>
      </c>
      <c r="B90" s="16">
        <f>基データ!F90-(基データ!I90+基データ!J90+基データ!K90)</f>
        <v>556.39751552795042</v>
      </c>
      <c r="C90">
        <f>基データ!B90-基データ!B89</f>
        <v>0.29999999999999716</v>
      </c>
    </row>
    <row r="91" spans="1:11" x14ac:dyDescent="0.65">
      <c r="A91" s="9">
        <f>基データ!A91</f>
        <v>42574</v>
      </c>
      <c r="B91" s="16">
        <f>基データ!F91-(基データ!I91+基データ!J91+基データ!K91)</f>
        <v>-400.58592132505146</v>
      </c>
      <c r="C91">
        <f>基データ!B91-基データ!B90</f>
        <v>0.39999999999999147</v>
      </c>
    </row>
    <row r="92" spans="1:11" x14ac:dyDescent="0.65">
      <c r="A92" s="9">
        <f>基データ!A92</f>
        <v>42575</v>
      </c>
      <c r="B92" s="16">
        <f>基データ!F92-(基データ!I92+基データ!J92+基データ!K92)</f>
        <v>535.3850931677016</v>
      </c>
      <c r="C92">
        <f>基データ!B92-基データ!B91</f>
        <v>-0.69999999999998863</v>
      </c>
    </row>
    <row r="93" spans="1:11" x14ac:dyDescent="0.65">
      <c r="A93" s="9">
        <f>基データ!A93</f>
        <v>42576</v>
      </c>
      <c r="B93" s="16">
        <f>基データ!F93-(基データ!I93+基データ!J93+基データ!K93)</f>
        <v>-225.58592132505146</v>
      </c>
      <c r="C93">
        <f>基データ!B93-基データ!B92</f>
        <v>0.69999999999998863</v>
      </c>
    </row>
    <row r="94" spans="1:11" x14ac:dyDescent="0.65">
      <c r="A94" s="9">
        <f>基データ!A94</f>
        <v>42577</v>
      </c>
      <c r="B94" s="16">
        <f>基データ!F94-(基データ!I94+基データ!J94+基データ!K94)</f>
        <v>33.401656314699721</v>
      </c>
      <c r="C94">
        <f>基データ!B94-基データ!B93</f>
        <v>-0.29999999999999716</v>
      </c>
    </row>
    <row r="95" spans="1:11" x14ac:dyDescent="0.65">
      <c r="A95" s="9">
        <f>基データ!A95</f>
        <v>42578</v>
      </c>
      <c r="B95" s="16">
        <f>基データ!F95-(基データ!I95+基データ!J95+基データ!K95)</f>
        <v>-376.59834368530028</v>
      </c>
      <c r="C95">
        <f>基データ!B95-基データ!B94</f>
        <v>0</v>
      </c>
    </row>
    <row r="96" spans="1:11" x14ac:dyDescent="0.65">
      <c r="A96" s="9">
        <f>基データ!A96</f>
        <v>42579</v>
      </c>
      <c r="B96" s="16">
        <f>基データ!F96-(基データ!I96+基データ!J96+基データ!K96)</f>
        <v>-36.602484472049582</v>
      </c>
      <c r="C96">
        <f>基データ!B96-基データ!B95</f>
        <v>-9.9999999999994316E-2</v>
      </c>
    </row>
    <row r="97" spans="1:3" x14ac:dyDescent="0.65">
      <c r="A97" s="9">
        <f>基データ!A97</f>
        <v>42580</v>
      </c>
      <c r="B97" s="16">
        <f>基データ!F97-(基データ!I97+基データ!J97+基データ!K97)</f>
        <v>588.3850931677016</v>
      </c>
      <c r="C97">
        <f>基データ!B97-基データ!B96</f>
        <v>-0.29999999999999716</v>
      </c>
    </row>
    <row r="98" spans="1:3" x14ac:dyDescent="0.65">
      <c r="A98" s="9">
        <f>基データ!A98</f>
        <v>42581</v>
      </c>
      <c r="B98" s="16">
        <f>基データ!F98-(基データ!I98+基データ!J98+基データ!K98)</f>
        <v>-521.58592132505146</v>
      </c>
      <c r="C98">
        <f>基データ!B98-基データ!B97</f>
        <v>0.69999999999998863</v>
      </c>
    </row>
    <row r="99" spans="1:3" x14ac:dyDescent="0.65">
      <c r="A99" s="9">
        <f>基データ!A99</f>
        <v>42582</v>
      </c>
      <c r="B99" s="16">
        <f>基データ!F99-(基データ!I99+基データ!J99+基データ!K99)</f>
        <v>-552.57349896480355</v>
      </c>
      <c r="C99">
        <f>基データ!B99-基データ!B98</f>
        <v>0.30000000000001137</v>
      </c>
    </row>
    <row r="100" spans="1:3" x14ac:dyDescent="0.65">
      <c r="A100" s="9">
        <f>基データ!A100</f>
        <v>42583</v>
      </c>
      <c r="B100" s="16">
        <f>基データ!F100-(基データ!I100+基データ!J100+基データ!K100)</f>
        <v>-1113.5817805383022</v>
      </c>
      <c r="C100">
        <f>基データ!B100-基データ!B99</f>
        <v>-0.20000000000000284</v>
      </c>
    </row>
    <row r="101" spans="1:3" x14ac:dyDescent="0.65">
      <c r="A101" s="9">
        <f>基データ!A101</f>
        <v>42584</v>
      </c>
      <c r="B101" s="16">
        <f>基データ!F101-(基データ!I101+基データ!J101+基データ!K101)</f>
        <v>326.40165631469972</v>
      </c>
      <c r="C101">
        <f>基データ!B101-基データ!B100</f>
        <v>-0.40000000000000568</v>
      </c>
    </row>
    <row r="102" spans="1:3" x14ac:dyDescent="0.65">
      <c r="A102" s="9">
        <f>基データ!A102</f>
        <v>42585</v>
      </c>
      <c r="B102" s="16">
        <f>基データ!F102-(基データ!I102+基データ!J102+基データ!K102)</f>
        <v>-39.594202898550975</v>
      </c>
      <c r="C102">
        <f>基データ!B102-基データ!B101</f>
        <v>0.10000000000000853</v>
      </c>
    </row>
    <row r="103" spans="1:3" x14ac:dyDescent="0.65">
      <c r="A103" s="9">
        <f>基データ!A103</f>
        <v>42586</v>
      </c>
      <c r="B103" s="16">
        <f>基データ!F103-(基データ!I103+基データ!J103+基データ!K103)</f>
        <v>375.40579710144902</v>
      </c>
      <c r="C103">
        <f>基データ!B103-基データ!B102</f>
        <v>0</v>
      </c>
    </row>
    <row r="104" spans="1:3" x14ac:dyDescent="0.65">
      <c r="A104" s="9">
        <f>基データ!A104</f>
        <v>42587</v>
      </c>
      <c r="B104" s="16">
        <f>基データ!F104-(基データ!I104+基データ!J104+基データ!K104)</f>
        <v>722.40579710144902</v>
      </c>
      <c r="C104">
        <f>基データ!B104-基データ!B103</f>
        <v>0</v>
      </c>
    </row>
    <row r="105" spans="1:3" x14ac:dyDescent="0.65">
      <c r="A105" s="9">
        <f>基データ!A105</f>
        <v>42588</v>
      </c>
      <c r="B105" s="16">
        <f>基データ!F105-(基データ!I105+基データ!J105+基データ!K105)</f>
        <v>313.41821946169784</v>
      </c>
      <c r="C105">
        <f>基データ!B105-基データ!B104</f>
        <v>0.29999999999999716</v>
      </c>
    </row>
    <row r="106" spans="1:3" x14ac:dyDescent="0.65">
      <c r="A106" s="9">
        <f>基データ!A106</f>
        <v>42589</v>
      </c>
      <c r="B106" s="16">
        <f>基データ!F106-(基データ!I106+基データ!J106+基データ!K106)</f>
        <v>-703.60248447204958</v>
      </c>
      <c r="C106">
        <f>基データ!B106-基データ!B105</f>
        <v>-0.5</v>
      </c>
    </row>
    <row r="107" spans="1:3" x14ac:dyDescent="0.65">
      <c r="A107" s="9">
        <f>基データ!A107</f>
        <v>42590</v>
      </c>
      <c r="B107" s="16">
        <f>基データ!F107-(基データ!I107+基データ!J107+基データ!K107)</f>
        <v>354.3850931677016</v>
      </c>
      <c r="C107">
        <f>基データ!B107-基データ!B106</f>
        <v>-0.29999999999999716</v>
      </c>
    </row>
    <row r="108" spans="1:3" x14ac:dyDescent="0.65">
      <c r="A108" s="9">
        <f>基データ!A108</f>
        <v>42591</v>
      </c>
      <c r="B108" s="16">
        <f>基データ!F108-(基データ!I108+基データ!J108+基データ!K108)</f>
        <v>-605.60248447204958</v>
      </c>
      <c r="C108">
        <f>基データ!B108-基データ!B107</f>
        <v>0.29999999999999716</v>
      </c>
    </row>
    <row r="109" spans="1:3" x14ac:dyDescent="0.65">
      <c r="A109" s="9">
        <f>基データ!A109</f>
        <v>42592</v>
      </c>
      <c r="B109" s="16">
        <f>基データ!F109-(基データ!I109+基データ!J109+基データ!K109)</f>
        <v>-785.62732919254631</v>
      </c>
      <c r="C109">
        <f>基データ!B109-基データ!B108</f>
        <v>-0.60000000000000853</v>
      </c>
    </row>
    <row r="110" spans="1:3" x14ac:dyDescent="0.65">
      <c r="A110" s="9">
        <f>基データ!A110</f>
        <v>42593</v>
      </c>
      <c r="B110" s="16">
        <f>基データ!F110-(基データ!I110+基データ!J110+基データ!K110)</f>
        <v>678.37267080745369</v>
      </c>
      <c r="C110">
        <f>基データ!B110-基データ!B109</f>
        <v>0</v>
      </c>
    </row>
    <row r="111" spans="1:3" x14ac:dyDescent="0.65">
      <c r="A111" s="9">
        <f>基データ!A111</f>
        <v>42594</v>
      </c>
      <c r="B111" s="16">
        <f>基データ!F111-(基データ!I111+基データ!J111+基データ!K111)</f>
        <v>-271.60248447204958</v>
      </c>
      <c r="C111">
        <f>基データ!B111-基データ!B110</f>
        <v>0.60000000000000853</v>
      </c>
    </row>
    <row r="112" spans="1:3" x14ac:dyDescent="0.65">
      <c r="A112" s="9">
        <f>基データ!A112</f>
        <v>42595</v>
      </c>
      <c r="B112" s="16">
        <f>基データ!F112-(基データ!I112+基データ!J112+基データ!K112)</f>
        <v>-271.62318840579701</v>
      </c>
      <c r="C112">
        <f>基データ!B112-基データ!B111</f>
        <v>-0.5</v>
      </c>
    </row>
    <row r="113" spans="1:3" x14ac:dyDescent="0.65">
      <c r="A113" s="9">
        <f>基データ!A113</f>
        <v>42596</v>
      </c>
      <c r="B113" s="16">
        <f>基データ!F113-(基データ!I113+基データ!J113+基データ!K113)</f>
        <v>127.36024844720487</v>
      </c>
      <c r="C113">
        <f>基データ!B113-基データ!B112</f>
        <v>-0.40000000000000568</v>
      </c>
    </row>
    <row r="114" spans="1:3" x14ac:dyDescent="0.65">
      <c r="A114" s="9">
        <f>基データ!A114</f>
        <v>42597</v>
      </c>
      <c r="B114" s="16">
        <f>基データ!F114-(基データ!I114+基データ!J114+基データ!K114)</f>
        <v>-771.63975155279513</v>
      </c>
      <c r="C114">
        <f>基データ!B114-基データ!B113</f>
        <v>0</v>
      </c>
    </row>
    <row r="115" spans="1:3" x14ac:dyDescent="0.65">
      <c r="A115" s="9">
        <f>基データ!A115</f>
        <v>42598</v>
      </c>
      <c r="B115" s="16">
        <f>基データ!F115-(基データ!I115+基データ!J115+基データ!K115)</f>
        <v>-472.60662525879889</v>
      </c>
      <c r="C115">
        <f>基データ!B115-基データ!B114</f>
        <v>0.79999999999999716</v>
      </c>
    </row>
    <row r="116" spans="1:3" x14ac:dyDescent="0.65">
      <c r="A116" s="9">
        <f>基データ!A116</f>
        <v>42599</v>
      </c>
      <c r="B116" s="16">
        <f>基データ!F116-(基データ!I116+基データ!J116+基データ!K116)</f>
        <v>2464.3975155279504</v>
      </c>
      <c r="C116">
        <f>基データ!B116-基データ!B115</f>
        <v>0.10000000000000853</v>
      </c>
    </row>
    <row r="117" spans="1:3" x14ac:dyDescent="0.65">
      <c r="A117" s="9">
        <f>基データ!A117</f>
        <v>42600</v>
      </c>
      <c r="B117" s="16">
        <f>基データ!F117-(基データ!I117+基データ!J117+基データ!K117)</f>
        <v>-205.60662525879889</v>
      </c>
      <c r="C117">
        <f>基データ!B117-基データ!B116</f>
        <v>-0.10000000000000853</v>
      </c>
    </row>
    <row r="118" spans="1:3" x14ac:dyDescent="0.65">
      <c r="A118" s="9">
        <f>基データ!A118</f>
        <v>42601</v>
      </c>
      <c r="B118" s="16">
        <f>基データ!F118-(基データ!I118+基データ!J118+基データ!K118)</f>
        <v>-406.59420289855098</v>
      </c>
      <c r="C118">
        <f>基データ!B118-基データ!B117</f>
        <v>0.30000000000001137</v>
      </c>
    </row>
    <row r="119" spans="1:3" x14ac:dyDescent="0.65">
      <c r="A119" s="9">
        <f>基データ!A119</f>
        <v>42602</v>
      </c>
      <c r="B119" s="16">
        <f>基データ!F119-(基データ!I119+基データ!J119+基データ!K119)</f>
        <v>-782.62318840579701</v>
      </c>
      <c r="C119">
        <f>基データ!B119-基データ!B118</f>
        <v>-0.70000000000000284</v>
      </c>
    </row>
    <row r="120" spans="1:3" x14ac:dyDescent="0.65">
      <c r="A120" s="9">
        <f>基データ!A120</f>
        <v>42603</v>
      </c>
      <c r="B120" s="16">
        <f>基データ!F120-(基データ!I120+基データ!J120+基データ!K120)</f>
        <v>-442.64803312629419</v>
      </c>
      <c r="C120">
        <f>基データ!B120-基データ!B119</f>
        <v>-0.60000000000000853</v>
      </c>
    </row>
    <row r="121" spans="1:3" x14ac:dyDescent="0.65">
      <c r="A121" s="9">
        <f>基データ!A121</f>
        <v>42604</v>
      </c>
      <c r="B121" s="16">
        <f>基データ!F121-(基データ!I121+基データ!J121+基データ!K121)</f>
        <v>-127.6149068322984</v>
      </c>
      <c r="C121">
        <f>基データ!B121-基データ!B120</f>
        <v>0.80000000000001137</v>
      </c>
    </row>
    <row r="122" spans="1:3" x14ac:dyDescent="0.65">
      <c r="A122" s="9">
        <f>基データ!A122</f>
        <v>42605</v>
      </c>
      <c r="B122" s="16">
        <f>基データ!F122-(基データ!I122+基データ!J122+基データ!K122)</f>
        <v>-221.64803312629419</v>
      </c>
      <c r="C122">
        <f>基データ!B122-基データ!B121</f>
        <v>-0.80000000000001137</v>
      </c>
    </row>
    <row r="123" spans="1:3" x14ac:dyDescent="0.65">
      <c r="A123" s="9">
        <f>基データ!A123</f>
        <v>42606</v>
      </c>
      <c r="B123" s="16">
        <f>基データ!F123-(基データ!I123+基データ!J123+基データ!K123)</f>
        <v>387.3892339544509</v>
      </c>
      <c r="C123">
        <f>基データ!B123-基データ!B122</f>
        <v>0.90000000000000568</v>
      </c>
    </row>
    <row r="124" spans="1:3" x14ac:dyDescent="0.65">
      <c r="A124" s="9">
        <f>基データ!A124</f>
        <v>42607</v>
      </c>
      <c r="B124" s="16">
        <f>基データ!F124-(基データ!I124+基データ!J124+基データ!K124)</f>
        <v>355.3892339544509</v>
      </c>
      <c r="C124">
        <f>基データ!B124-基データ!B123</f>
        <v>0</v>
      </c>
    </row>
    <row r="125" spans="1:3" x14ac:dyDescent="0.65">
      <c r="A125" s="9">
        <f>基データ!A125</f>
        <v>42608</v>
      </c>
      <c r="B125" s="16">
        <f>基データ!F125-(基データ!I125+基データ!J125+基データ!K125)</f>
        <v>79.364389233954171</v>
      </c>
      <c r="C125">
        <f>基データ!B125-基データ!B124</f>
        <v>-0.59999999999999432</v>
      </c>
    </row>
    <row r="126" spans="1:3" x14ac:dyDescent="0.65">
      <c r="A126" s="9">
        <f>基データ!A126</f>
        <v>42609</v>
      </c>
      <c r="B126" s="16">
        <f>基データ!F126-(基データ!I126+基データ!J126+基データ!K126)</f>
        <v>-451.62318840579701</v>
      </c>
      <c r="C126">
        <f>基データ!B126-基データ!B125</f>
        <v>0.29999999999999716</v>
      </c>
    </row>
    <row r="127" spans="1:3" x14ac:dyDescent="0.65">
      <c r="A127" s="9">
        <f>基データ!A127</f>
        <v>42610</v>
      </c>
      <c r="B127" s="16">
        <f>基データ!F127-(基データ!I127+基データ!J127+基データ!K127)</f>
        <v>-441.64803312629419</v>
      </c>
      <c r="C127">
        <f>基データ!B127-基データ!B126</f>
        <v>-0.60000000000000853</v>
      </c>
    </row>
    <row r="128" spans="1:3" x14ac:dyDescent="0.65">
      <c r="A128" s="9">
        <f>基データ!A128</f>
        <v>42611</v>
      </c>
      <c r="B128" s="16">
        <f>基データ!F128-(基データ!I128+基データ!J128+基データ!K128)</f>
        <v>77.351966873705805</v>
      </c>
      <c r="C128">
        <f>基データ!B128-基データ!B127</f>
        <v>0</v>
      </c>
    </row>
    <row r="129" spans="1:3" x14ac:dyDescent="0.65">
      <c r="A129" s="9">
        <f>基データ!A129</f>
        <v>42612</v>
      </c>
      <c r="B129" s="16">
        <f>基データ!F129-(基データ!I129+基データ!J129+基データ!K129)</f>
        <v>324.35196687370581</v>
      </c>
      <c r="C129">
        <f>基データ!B129-基データ!B128</f>
        <v>0</v>
      </c>
    </row>
    <row r="130" spans="1:3" x14ac:dyDescent="0.65">
      <c r="A130" s="9">
        <f>基データ!A130</f>
        <v>42613</v>
      </c>
      <c r="B130" s="16">
        <f>基データ!F130-(基データ!I130+基データ!J130+基データ!K130)</f>
        <v>-253.64803312629419</v>
      </c>
      <c r="C130">
        <f>基データ!B130-基データ!B129</f>
        <v>0</v>
      </c>
    </row>
    <row r="131" spans="1:3" x14ac:dyDescent="0.65">
      <c r="A131" s="9">
        <f>基データ!A131</f>
        <v>42614</v>
      </c>
      <c r="B131" s="16">
        <f>基データ!F131-(基データ!I131+基データ!J131+基データ!K131)</f>
        <v>408.35196687370581</v>
      </c>
      <c r="C131">
        <f>基データ!B131-基データ!B130</f>
        <v>0</v>
      </c>
    </row>
    <row r="132" spans="1:3" x14ac:dyDescent="0.65">
      <c r="A132" s="9">
        <f>基データ!A132</f>
        <v>42615</v>
      </c>
      <c r="B132" s="16">
        <f>基データ!F132-(基データ!I132+基データ!J132+基データ!K132)</f>
        <v>223.35196687370581</v>
      </c>
      <c r="C132">
        <f>基データ!B132-基データ!B131</f>
        <v>0</v>
      </c>
    </row>
    <row r="133" spans="1:3" x14ac:dyDescent="0.65">
      <c r="A133" s="9">
        <f>基データ!A133</f>
        <v>42616</v>
      </c>
      <c r="B133" s="16">
        <f>基データ!F133-(基データ!I133+基データ!J133+基データ!K133)</f>
        <v>-477.64803312629419</v>
      </c>
      <c r="C133">
        <f>基データ!B133-基データ!B132</f>
        <v>0</v>
      </c>
    </row>
    <row r="134" spans="1:3" x14ac:dyDescent="0.65">
      <c r="A134" s="9">
        <f>基データ!A134</f>
        <v>42617</v>
      </c>
      <c r="B134" s="16">
        <f>基データ!F134-(基データ!I134+基データ!J134+基データ!K134)</f>
        <v>81.335403726708137</v>
      </c>
      <c r="C134">
        <f>基データ!B134-基データ!B133</f>
        <v>-0.39999999999999147</v>
      </c>
    </row>
    <row r="135" spans="1:3" x14ac:dyDescent="0.65">
      <c r="A135" s="9">
        <f>基データ!A135</f>
        <v>42618</v>
      </c>
      <c r="B135" s="16">
        <f>基データ!F135-(基データ!I135+基データ!J135+基データ!K135)</f>
        <v>-205.66459627329186</v>
      </c>
      <c r="C135">
        <f>基データ!B135-基データ!B134</f>
        <v>0</v>
      </c>
    </row>
    <row r="136" spans="1:3" x14ac:dyDescent="0.65">
      <c r="A136" s="9">
        <f>基データ!A136</f>
        <v>42619</v>
      </c>
      <c r="B136" s="16">
        <f>基データ!F136-(基データ!I136+基データ!J136+基データ!K136)</f>
        <v>792.34782608695696</v>
      </c>
      <c r="C136">
        <f>基データ!B136-基データ!B135</f>
        <v>0.29999999999999716</v>
      </c>
    </row>
    <row r="137" spans="1:3" x14ac:dyDescent="0.65">
      <c r="A137" s="9">
        <f>基データ!A137</f>
        <v>42620</v>
      </c>
      <c r="B137" s="16">
        <f>基データ!F137-(基データ!I137+基データ!J137+基データ!K137)</f>
        <v>-273.62318840579701</v>
      </c>
      <c r="C137">
        <f>基データ!B137-基データ!B136</f>
        <v>0.70000000000000284</v>
      </c>
    </row>
    <row r="138" spans="1:3" x14ac:dyDescent="0.65">
      <c r="A138" s="9">
        <f>基データ!A138</f>
        <v>42621</v>
      </c>
      <c r="B138" s="16">
        <f>基データ!F138-(基データ!I138+基データ!J138+基データ!K138)</f>
        <v>-397.62318840579701</v>
      </c>
      <c r="C138">
        <f>基データ!B138-基データ!B137</f>
        <v>0</v>
      </c>
    </row>
    <row r="139" spans="1:3" x14ac:dyDescent="0.65">
      <c r="A139" s="9">
        <f>基データ!A139</f>
        <v>42622</v>
      </c>
      <c r="B139" s="16">
        <f>基データ!F139-(基データ!I139+基データ!J139+基データ!K139)</f>
        <v>-436.64803312629419</v>
      </c>
      <c r="C139">
        <f>基データ!B139-基データ!B138</f>
        <v>-0.60000000000000853</v>
      </c>
    </row>
    <row r="140" spans="1:3" x14ac:dyDescent="0.65">
      <c r="A140" s="9">
        <f>基データ!A140</f>
        <v>42623</v>
      </c>
      <c r="B140" s="16">
        <f>基データ!F140-(基データ!I140+基データ!J140+基データ!K140)</f>
        <v>-427.64803312629419</v>
      </c>
      <c r="C140">
        <f>基データ!B140-基データ!B139</f>
        <v>0</v>
      </c>
    </row>
    <row r="141" spans="1:3" x14ac:dyDescent="0.65">
      <c r="A141" s="9">
        <f>基データ!A141</f>
        <v>42624</v>
      </c>
      <c r="B141" s="16">
        <f>基データ!F141-(基データ!I141+基データ!J141+基データ!K141)</f>
        <v>-221.64803312629419</v>
      </c>
      <c r="C141">
        <f>基データ!B141-基データ!B140</f>
        <v>0</v>
      </c>
    </row>
    <row r="142" spans="1:3" x14ac:dyDescent="0.65">
      <c r="A142" s="9">
        <f>基データ!A142</f>
        <v>42625</v>
      </c>
      <c r="B142" s="16">
        <f>基データ!F142-(基データ!I142+基データ!J142+基データ!K142)</f>
        <v>-361.64803312629419</v>
      </c>
      <c r="C142">
        <f>基データ!B142-基データ!B141</f>
        <v>0</v>
      </c>
    </row>
    <row r="143" spans="1:3" x14ac:dyDescent="0.65">
      <c r="A143" s="9">
        <f>基データ!A143</f>
        <v>42626</v>
      </c>
      <c r="B143" s="16">
        <f>基データ!F143-(基データ!I143+基データ!J143+基データ!K143)</f>
        <v>-553.67287784679138</v>
      </c>
      <c r="C143">
        <f>基データ!B143-基データ!B142</f>
        <v>-0.59999999999999432</v>
      </c>
    </row>
    <row r="144" spans="1:3" x14ac:dyDescent="0.65">
      <c r="A144" s="9">
        <f>基データ!A144</f>
        <v>42627</v>
      </c>
      <c r="B144" s="16">
        <f>基データ!F144-(基データ!I144+基データ!J144+基データ!K144)</f>
        <v>-11.67287784679138</v>
      </c>
      <c r="C144">
        <f>基データ!B144-基データ!B143</f>
        <v>0</v>
      </c>
    </row>
    <row r="145" spans="1:3" x14ac:dyDescent="0.65">
      <c r="A145" s="9">
        <f>基データ!A145</f>
        <v>42628</v>
      </c>
      <c r="B145" s="16">
        <f>基データ!F145-(基データ!I145+基データ!J145+基データ!K145)</f>
        <v>575.32712215320862</v>
      </c>
      <c r="C145">
        <f>基データ!B145-基データ!B144</f>
        <v>0</v>
      </c>
    </row>
    <row r="146" spans="1:3" x14ac:dyDescent="0.65">
      <c r="A146" s="9">
        <f>基データ!A146</f>
        <v>42629</v>
      </c>
      <c r="B146" s="16">
        <f>基データ!F146-(基データ!I146+基データ!J146+基データ!K146)</f>
        <v>-214.67287784679138</v>
      </c>
      <c r="C146">
        <f>基データ!B146-基データ!B145</f>
        <v>0</v>
      </c>
    </row>
    <row r="147" spans="1:3" x14ac:dyDescent="0.65">
      <c r="A147" s="9">
        <f>基データ!A147</f>
        <v>42630</v>
      </c>
      <c r="B147" s="16">
        <f>基データ!F147-(基データ!I147+基データ!J147+基データ!K147)</f>
        <v>596.32712215320862</v>
      </c>
      <c r="C147">
        <f>基データ!B147-基データ!B146</f>
        <v>0</v>
      </c>
    </row>
    <row r="148" spans="1:3" x14ac:dyDescent="0.65">
      <c r="A148" s="9">
        <f>基データ!A148</f>
        <v>42631</v>
      </c>
      <c r="B148" s="16">
        <f>基データ!F148-(基データ!I148+基データ!J148+基データ!K148)</f>
        <v>-246.70600414078672</v>
      </c>
      <c r="C148">
        <f>基データ!B148-基データ!B147</f>
        <v>-0.79999999999999716</v>
      </c>
    </row>
    <row r="149" spans="1:3" x14ac:dyDescent="0.65">
      <c r="A149" s="9">
        <f>基データ!A149</f>
        <v>42632</v>
      </c>
      <c r="B149" s="16">
        <f>基データ!F149-(基データ!I149+基データ!J149+基データ!K149)</f>
        <v>513.27329192546586</v>
      </c>
      <c r="C149">
        <f>基データ!B149-基データ!B148</f>
        <v>-0.5</v>
      </c>
    </row>
    <row r="150" spans="1:3" x14ac:dyDescent="0.65">
      <c r="A150" s="9">
        <f>基データ!A150</f>
        <v>42633</v>
      </c>
      <c r="B150" s="16">
        <f>基データ!F150-(基データ!I150+基データ!J150+基データ!K150)</f>
        <v>299.3064182194621</v>
      </c>
      <c r="C150">
        <f>基データ!B150-基データ!B149</f>
        <v>0.79999999999999716</v>
      </c>
    </row>
    <row r="151" spans="1:3" x14ac:dyDescent="0.65">
      <c r="A151" s="9">
        <f>基データ!A151</f>
        <v>42634</v>
      </c>
      <c r="B151" s="16">
        <f>基データ!F151-(基データ!I151+基データ!J151+基データ!K151)</f>
        <v>52.356107660455564</v>
      </c>
      <c r="C151">
        <f>基データ!B151-基データ!B150</f>
        <v>1.2000000000000028</v>
      </c>
    </row>
    <row r="152" spans="1:3" x14ac:dyDescent="0.65">
      <c r="A152" s="9">
        <f>基データ!A152</f>
        <v>42635</v>
      </c>
      <c r="B152" s="16">
        <f>基データ!F152-(基データ!I152+基データ!J152+基データ!K152)</f>
        <v>-448.63975155279513</v>
      </c>
      <c r="C152">
        <f>基データ!B152-基データ!B151</f>
        <v>9.9999999999994316E-2</v>
      </c>
    </row>
    <row r="153" spans="1:3" x14ac:dyDescent="0.65">
      <c r="A153" s="9">
        <f>基データ!A153</f>
        <v>42636</v>
      </c>
      <c r="B153" s="16">
        <f>基データ!F153-(基データ!I153+基データ!J153+基データ!K153)</f>
        <v>422.28157349896446</v>
      </c>
      <c r="C153">
        <f>基データ!B153-基データ!B152</f>
        <v>-1.8999999999999915</v>
      </c>
    </row>
    <row r="154" spans="1:3" x14ac:dyDescent="0.65">
      <c r="A154" s="9">
        <f>基データ!A154</f>
        <v>42637</v>
      </c>
      <c r="B154" s="16">
        <f>基データ!F154-(基データ!I154+基データ!J154+基データ!K154)</f>
        <v>829.32712215320862</v>
      </c>
      <c r="C154">
        <f>基データ!B154-基データ!B153</f>
        <v>1.0999999999999943</v>
      </c>
    </row>
    <row r="155" spans="1:3" x14ac:dyDescent="0.65">
      <c r="A155" s="9">
        <f>基データ!A155</f>
        <v>42638</v>
      </c>
      <c r="B155" s="16">
        <f>基データ!F155-(基データ!I155+基データ!J155+基データ!K155)</f>
        <v>-77.69772256728811</v>
      </c>
      <c r="C155">
        <f>基データ!B155-基データ!B154</f>
        <v>-0.59999999999999432</v>
      </c>
    </row>
    <row r="156" spans="1:3" x14ac:dyDescent="0.65">
      <c r="A156" s="9">
        <f>基データ!A156</f>
        <v>42639</v>
      </c>
      <c r="B156" s="16">
        <f>基データ!F156-(基データ!I156+基データ!J156+基データ!K156)</f>
        <v>398.32298136645932</v>
      </c>
      <c r="C156">
        <f>基データ!B156-基データ!B155</f>
        <v>0.5</v>
      </c>
    </row>
    <row r="157" spans="1:3" x14ac:dyDescent="0.65">
      <c r="A157" s="9">
        <f>基データ!A157</f>
        <v>42640</v>
      </c>
      <c r="B157" s="16">
        <f>基データ!F157-(基データ!I157+基データ!J157+基データ!K157)</f>
        <v>-30.677018633540683</v>
      </c>
      <c r="C157">
        <f>基データ!B157-基データ!B156</f>
        <v>0</v>
      </c>
    </row>
    <row r="158" spans="1:3" x14ac:dyDescent="0.65">
      <c r="A158" s="9">
        <f>基データ!A158</f>
        <v>42641</v>
      </c>
      <c r="B158" s="16">
        <f>基データ!F158-(基データ!I158+基データ!J158+基データ!K158)</f>
        <v>-75.66045548654256</v>
      </c>
      <c r="C158">
        <f>基データ!B158-基データ!B157</f>
        <v>0.39999999999999147</v>
      </c>
    </row>
    <row r="159" spans="1:3" x14ac:dyDescent="0.65">
      <c r="A159" s="9">
        <f>基データ!A159</f>
        <v>42642</v>
      </c>
      <c r="B159" s="16">
        <f>基データ!F159-(基データ!I159+基データ!J159+基データ!K159)</f>
        <v>381.32712215320862</v>
      </c>
      <c r="C159">
        <f>基データ!B159-基データ!B158</f>
        <v>-0.29999999999999716</v>
      </c>
    </row>
    <row r="160" spans="1:3" x14ac:dyDescent="0.65">
      <c r="A160" s="9">
        <f>基データ!A160</f>
        <v>42643</v>
      </c>
      <c r="B160" s="16">
        <f>基データ!F160-(基データ!I160+基データ!J160+基データ!K160)</f>
        <v>1342.3519668737058</v>
      </c>
      <c r="C160">
        <f>基データ!B160-基データ!B159</f>
        <v>0.59999999999999432</v>
      </c>
    </row>
    <row r="161" spans="1:3" x14ac:dyDescent="0.65">
      <c r="A161" s="9">
        <f>基データ!A161</f>
        <v>42644</v>
      </c>
      <c r="B161" s="16">
        <f>基データ!F161-(基データ!I161+基データ!J161+基データ!K161)</f>
        <v>-785.67287784679138</v>
      </c>
      <c r="C161">
        <f>基データ!B161-基データ!B160</f>
        <v>-0.59999999999999432</v>
      </c>
    </row>
    <row r="162" spans="1:3" x14ac:dyDescent="0.65">
      <c r="A162" s="9">
        <f>基データ!A162</f>
        <v>42645</v>
      </c>
      <c r="B162" s="16">
        <f>基データ!F162-(基データ!I162+基データ!J162+基データ!K162)</f>
        <v>129.33954451345767</v>
      </c>
      <c r="C162">
        <f>基データ!B162-基データ!B161</f>
        <v>0.29999999999999716</v>
      </c>
    </row>
    <row r="163" spans="1:3" x14ac:dyDescent="0.65">
      <c r="A163" s="9">
        <f>基データ!A163</f>
        <v>42646</v>
      </c>
      <c r="B163" s="16">
        <f>基データ!F163-(基データ!I163+基データ!J163+基データ!K163)</f>
        <v>965.33126293995883</v>
      </c>
      <c r="C163">
        <f>基データ!B163-基データ!B162</f>
        <v>-0.20000000000000284</v>
      </c>
    </row>
    <row r="164" spans="1:3" x14ac:dyDescent="0.65">
      <c r="A164" s="9">
        <f>基データ!A164</f>
        <v>42647</v>
      </c>
      <c r="B164" s="16">
        <f>基データ!F164-(基データ!I164+基データ!J164+基データ!K164)</f>
        <v>981.33126293995883</v>
      </c>
      <c r="C164">
        <f>基データ!B164-基データ!B163</f>
        <v>0</v>
      </c>
    </row>
    <row r="165" spans="1:3" x14ac:dyDescent="0.65">
      <c r="A165" s="9">
        <f>基データ!A165</f>
        <v>42648</v>
      </c>
      <c r="B165" s="16">
        <f>基データ!F165-(基データ!I165+基データ!J165+基データ!K165)</f>
        <v>590.33126293995883</v>
      </c>
      <c r="C165">
        <f>基データ!B165-基データ!B164</f>
        <v>0</v>
      </c>
    </row>
    <row r="166" spans="1:3" x14ac:dyDescent="0.65">
      <c r="A166" s="9">
        <f>基データ!A166</f>
        <v>42649</v>
      </c>
      <c r="B166" s="16">
        <f>基データ!F166-(基データ!I166+基データ!J166+基データ!K166)</f>
        <v>-178.65631469979326</v>
      </c>
      <c r="C166">
        <f>基データ!B166-基データ!B165</f>
        <v>0.30000000000001137</v>
      </c>
    </row>
    <row r="167" spans="1:3" x14ac:dyDescent="0.65">
      <c r="A167" s="9">
        <f>基データ!A167</f>
        <v>42650</v>
      </c>
      <c r="B167" s="16">
        <f>基データ!F167-(基データ!I167+基データ!J167+基データ!K167)</f>
        <v>2048.3519668737058</v>
      </c>
      <c r="C167">
        <f>基データ!B167-基データ!B166</f>
        <v>0.19999999999998863</v>
      </c>
    </row>
    <row r="168" spans="1:3" x14ac:dyDescent="0.65">
      <c r="A168" s="9">
        <f>基データ!A168</f>
        <v>42651</v>
      </c>
      <c r="B168" s="16">
        <f>基データ!F168-(基データ!I168+基データ!J168+基データ!K168)</f>
        <v>-559.64803312629419</v>
      </c>
      <c r="C168">
        <f>基データ!B168-基データ!B167</f>
        <v>0</v>
      </c>
    </row>
    <row r="169" spans="1:3" x14ac:dyDescent="0.65">
      <c r="A169" s="9">
        <f>基データ!A169</f>
        <v>42652</v>
      </c>
      <c r="B169" s="16">
        <f>基データ!F169-(基データ!I169+基データ!J169+基データ!K169)</f>
        <v>-213.66873706004117</v>
      </c>
      <c r="C169">
        <f>基データ!B169-基データ!B168</f>
        <v>-0.5</v>
      </c>
    </row>
    <row r="170" spans="1:3" x14ac:dyDescent="0.65">
      <c r="A170" s="9">
        <f>基データ!A170</f>
        <v>42653</v>
      </c>
      <c r="B170" s="16">
        <f>基データ!F170-(基データ!I170+基データ!J170+基データ!K170)</f>
        <v>-494.67701863354068</v>
      </c>
      <c r="C170">
        <f>基データ!B170-基データ!B169</f>
        <v>-0.19999999999998863</v>
      </c>
    </row>
    <row r="171" spans="1:3" x14ac:dyDescent="0.65">
      <c r="A171" s="9">
        <f>基データ!A171</f>
        <v>42654</v>
      </c>
      <c r="B171" s="16">
        <f>基データ!F171-(基データ!I171+基データ!J171+基データ!K171)</f>
        <v>-56.67287784679138</v>
      </c>
      <c r="C171">
        <f>基データ!B171-基データ!B170</f>
        <v>9.9999999999994316E-2</v>
      </c>
    </row>
    <row r="172" spans="1:3" x14ac:dyDescent="0.65">
      <c r="A172" s="9">
        <f>基データ!A172</f>
        <v>42655</v>
      </c>
      <c r="B172" s="16">
        <f>基データ!F172-(基データ!I172+基データ!J172+基データ!K172)</f>
        <v>569.34782608695696</v>
      </c>
      <c r="C172">
        <f>基データ!B172-基データ!B171</f>
        <v>0.5</v>
      </c>
    </row>
    <row r="173" spans="1:3" x14ac:dyDescent="0.65">
      <c r="A173" s="9">
        <f>基データ!A173</f>
        <v>42656</v>
      </c>
      <c r="B173" s="16">
        <f>基データ!F173-(基データ!I173+基データ!J173+基データ!K173)</f>
        <v>-192.67701863354068</v>
      </c>
      <c r="C173">
        <f>基データ!B173-基データ!B172</f>
        <v>-0.59999999999999432</v>
      </c>
    </row>
    <row r="174" spans="1:3" x14ac:dyDescent="0.65">
      <c r="A174" s="9">
        <f>基データ!A174</f>
        <v>42657</v>
      </c>
      <c r="B174" s="16">
        <f>基データ!F174-(基データ!I174+基データ!J174+基データ!K174)</f>
        <v>24.310559006211406</v>
      </c>
      <c r="C174">
        <f>基データ!B174-基データ!B173</f>
        <v>-0.30000000000001137</v>
      </c>
    </row>
    <row r="175" spans="1:3" x14ac:dyDescent="0.65">
      <c r="A175" s="9">
        <f>基データ!A175</f>
        <v>42658</v>
      </c>
      <c r="B175" s="16">
        <f>基データ!F175-(基データ!I175+基データ!J175+基データ!K175)</f>
        <v>-615.63561076604583</v>
      </c>
      <c r="C175">
        <f>基データ!B175-基データ!B174</f>
        <v>1.3000000000000114</v>
      </c>
    </row>
    <row r="176" spans="1:3" x14ac:dyDescent="0.65">
      <c r="A176" s="9">
        <f>基データ!A176</f>
        <v>42659</v>
      </c>
      <c r="B176" s="16">
        <f>基データ!F176-(基データ!I176+基データ!J176+基データ!K176)</f>
        <v>-785.63975155279513</v>
      </c>
      <c r="C176">
        <f>基データ!B176-基データ!B175</f>
        <v>-0.10000000000000853</v>
      </c>
    </row>
    <row r="177" spans="1:3" x14ac:dyDescent="0.65">
      <c r="A177" s="9">
        <f>基データ!A177</f>
        <v>42660</v>
      </c>
      <c r="B177" s="16">
        <f>基データ!F177-(基データ!I177+基データ!J177+基データ!K177)</f>
        <v>-185.66873706004117</v>
      </c>
      <c r="C177">
        <f>基データ!B177-基データ!B176</f>
        <v>-0.70000000000000284</v>
      </c>
    </row>
    <row r="178" spans="1:3" x14ac:dyDescent="0.65">
      <c r="A178" s="9">
        <f>基データ!A178</f>
        <v>42661</v>
      </c>
      <c r="B178" s="16">
        <f>基データ!F178-(基データ!I178+基データ!J178+基データ!K178)</f>
        <v>158.33954451345744</v>
      </c>
      <c r="C178">
        <f>基データ!B178-基データ!B177</f>
        <v>0.20000000000000284</v>
      </c>
    </row>
    <row r="179" spans="1:3" x14ac:dyDescent="0.65">
      <c r="A179" s="9">
        <f>基データ!A179</f>
        <v>42662</v>
      </c>
      <c r="B179" s="16">
        <f>基データ!F179-(基データ!I179+基データ!J179+基データ!K179)</f>
        <v>-153.63975155279513</v>
      </c>
      <c r="C179">
        <f>基データ!B179-基データ!B178</f>
        <v>0.5</v>
      </c>
    </row>
    <row r="180" spans="1:3" x14ac:dyDescent="0.65">
      <c r="A180" s="9">
        <f>基データ!A180</f>
        <v>42663</v>
      </c>
      <c r="B180" s="16">
        <f>基データ!F180-(基データ!I180+基データ!J180+基データ!K180)</f>
        <v>744.33954451345744</v>
      </c>
      <c r="C180">
        <f>基データ!B180-基データ!B179</f>
        <v>-0.5</v>
      </c>
    </row>
    <row r="181" spans="1:3" x14ac:dyDescent="0.65">
      <c r="A181" s="9">
        <f>基データ!A181</f>
        <v>42664</v>
      </c>
      <c r="B181" s="16">
        <f>基データ!F181-(基データ!I181+基データ!J181+基データ!K181)</f>
        <v>588.36024844720487</v>
      </c>
      <c r="C181">
        <f>基データ!B181-基データ!B180</f>
        <v>0.5</v>
      </c>
    </row>
    <row r="182" spans="1:3" x14ac:dyDescent="0.65">
      <c r="A182" s="9">
        <f>基データ!A182</f>
        <v>42665</v>
      </c>
      <c r="B182" s="16">
        <f>基データ!F182-(基データ!I182+基データ!J182+基データ!K182)</f>
        <v>-653.63146997929653</v>
      </c>
      <c r="C182">
        <f>基データ!B182-基データ!B181</f>
        <v>0.20000000000000284</v>
      </c>
    </row>
    <row r="183" spans="1:3" x14ac:dyDescent="0.65">
      <c r="A183" s="9">
        <f>基データ!A183</f>
        <v>42666</v>
      </c>
      <c r="B183" s="16">
        <f>基データ!F183-(基データ!I183+基データ!J183+基データ!K183)</f>
        <v>610.31884057971001</v>
      </c>
      <c r="C183">
        <f>基データ!B183-基データ!B182</f>
        <v>-1.2000000000000028</v>
      </c>
    </row>
    <row r="184" spans="1:3" x14ac:dyDescent="0.65">
      <c r="A184" s="9">
        <f>基データ!A184</f>
        <v>42667</v>
      </c>
      <c r="B184" s="16">
        <f>基データ!F184-(基データ!I184+基データ!J184+基データ!K184)</f>
        <v>-202.66459627329186</v>
      </c>
      <c r="C184">
        <f>基データ!B184-基データ!B183</f>
        <v>0.40000000000000568</v>
      </c>
    </row>
    <row r="185" spans="1:3" x14ac:dyDescent="0.65">
      <c r="A185" s="9">
        <f>基データ!A185</f>
        <v>42668</v>
      </c>
      <c r="B185" s="16">
        <f>基データ!F185-(基データ!I185+基データ!J185+基データ!K185)</f>
        <v>698.35610766045556</v>
      </c>
      <c r="C185">
        <f>基データ!B185-基データ!B184</f>
        <v>0.5</v>
      </c>
    </row>
    <row r="186" spans="1:3" x14ac:dyDescent="0.65">
      <c r="A186" s="9">
        <f>基データ!A186</f>
        <v>42669</v>
      </c>
      <c r="B186" s="16">
        <f>基データ!F186-(基データ!I186+基データ!J186+基データ!K186)</f>
        <v>332.34368530020674</v>
      </c>
      <c r="C186">
        <f>基データ!B186-基データ!B185</f>
        <v>-0.29999999999999716</v>
      </c>
    </row>
    <row r="187" spans="1:3" x14ac:dyDescent="0.65">
      <c r="A187" s="9">
        <f>基データ!A187</f>
        <v>42670</v>
      </c>
      <c r="B187" s="16">
        <f>基データ!F187-(基データ!I187+基データ!J187+基データ!K187)</f>
        <v>236.34782608695696</v>
      </c>
      <c r="C187">
        <f>基データ!B187-基データ!B186</f>
        <v>9.9999999999994316E-2</v>
      </c>
    </row>
    <row r="188" spans="1:3" x14ac:dyDescent="0.65">
      <c r="A188" s="9">
        <f>基データ!A188</f>
        <v>42671</v>
      </c>
      <c r="B188" s="16">
        <f>基データ!F188-(基データ!I188+基データ!J188+基データ!K188)</f>
        <v>-68.652173913043043</v>
      </c>
      <c r="C188">
        <f>基データ!B188-基データ!B187</f>
        <v>0</v>
      </c>
    </row>
    <row r="189" spans="1:3" x14ac:dyDescent="0.65">
      <c r="A189" s="9">
        <f>基データ!A189</f>
        <v>42672</v>
      </c>
      <c r="B189" s="16">
        <f>基データ!F189-(基データ!I189+基データ!J189+基データ!K189)</f>
        <v>-475.64389233954444</v>
      </c>
      <c r="C189">
        <f>基データ!B189-基データ!B188</f>
        <v>0.20000000000000284</v>
      </c>
    </row>
    <row r="190" spans="1:3" x14ac:dyDescent="0.65">
      <c r="A190" s="9">
        <f>基データ!A190</f>
        <v>42673</v>
      </c>
      <c r="B190" s="16">
        <f>基データ!F190-(基データ!I190+基データ!J190+基データ!K190)</f>
        <v>205.37267080745369</v>
      </c>
      <c r="C190">
        <f>基データ!B190-基データ!B189</f>
        <v>0.39999999999999147</v>
      </c>
    </row>
    <row r="191" spans="1:3" x14ac:dyDescent="0.65">
      <c r="A191" s="9">
        <f>基データ!A191</f>
        <v>42674</v>
      </c>
      <c r="B191" s="16">
        <f>基データ!F191-(基データ!I191+基データ!J191+基データ!K191)</f>
        <v>-110.63975155279513</v>
      </c>
      <c r="C191">
        <f>基データ!B191-基データ!B190</f>
        <v>-0.29999999999999716</v>
      </c>
    </row>
    <row r="192" spans="1:3" x14ac:dyDescent="0.65">
      <c r="A192" s="9">
        <f>基データ!A192</f>
        <v>42675</v>
      </c>
      <c r="B192" s="16">
        <f>基データ!F192-(基データ!I192+基データ!J192+基データ!K192)</f>
        <v>41.356107660455564</v>
      </c>
      <c r="C192">
        <f>基データ!B192-基データ!B191</f>
        <v>-9.9999999999994316E-2</v>
      </c>
    </row>
    <row r="193" spans="1:3" x14ac:dyDescent="0.65">
      <c r="A193" s="9">
        <f>基データ!A193</f>
        <v>42676</v>
      </c>
      <c r="B193" s="16">
        <f>基データ!F193-(基データ!I193+基データ!J193+基データ!K193)</f>
        <v>77.356107660455564</v>
      </c>
      <c r="C193">
        <f>基データ!B193-基データ!B192</f>
        <v>0</v>
      </c>
    </row>
    <row r="194" spans="1:3" x14ac:dyDescent="0.65">
      <c r="A194" s="9">
        <f>基データ!A194</f>
        <v>42677</v>
      </c>
      <c r="B194" s="16">
        <f>基データ!F194-(基データ!I194+基データ!J194+基データ!K194)</f>
        <v>-438.6149068322984</v>
      </c>
      <c r="C194">
        <f>基データ!B194-基データ!B193</f>
        <v>0.70000000000000284</v>
      </c>
    </row>
    <row r="195" spans="1:3" x14ac:dyDescent="0.65">
      <c r="A195" s="9">
        <f>基データ!A195</f>
        <v>42678</v>
      </c>
      <c r="B195" s="16">
        <f>基データ!F195-(基データ!I195+基データ!J195+基データ!K195)</f>
        <v>823.34782608695696</v>
      </c>
      <c r="C195">
        <f>基データ!B195-基データ!B194</f>
        <v>-0.90000000000000568</v>
      </c>
    </row>
    <row r="196" spans="1:3" x14ac:dyDescent="0.65">
      <c r="A196" s="9">
        <f>基データ!A196</f>
        <v>42679</v>
      </c>
      <c r="B196" s="16">
        <f>基データ!F196-(基データ!I196+基データ!J196+基データ!K196)</f>
        <v>-2.5983436853002786</v>
      </c>
      <c r="C196">
        <f>基データ!B196-基データ!B195</f>
        <v>1.2999999999999972</v>
      </c>
    </row>
    <row r="197" spans="1:3" x14ac:dyDescent="0.65">
      <c r="A197" s="9">
        <f>基データ!A197</f>
        <v>42680</v>
      </c>
      <c r="B197" s="16">
        <f>基データ!F197-(基データ!I197+基データ!J197+基データ!K197)</f>
        <v>-555.63975155279513</v>
      </c>
      <c r="C197">
        <f>基データ!B197-基データ!B196</f>
        <v>-1</v>
      </c>
    </row>
    <row r="198" spans="1:3" x14ac:dyDescent="0.65">
      <c r="A198" s="9">
        <f>基データ!A198</f>
        <v>42681</v>
      </c>
      <c r="B198" s="16">
        <f>基データ!F198-(基データ!I198+基データ!J198+基データ!K198)</f>
        <v>-16.68530020703929</v>
      </c>
      <c r="C198">
        <f>基データ!B198-基データ!B197</f>
        <v>-1.0999999999999943</v>
      </c>
    </row>
    <row r="199" spans="1:3" x14ac:dyDescent="0.65">
      <c r="A199" s="9">
        <f>基データ!A199</f>
        <v>42682</v>
      </c>
      <c r="B199" s="16">
        <f>基データ!F199-(基データ!I199+基データ!J199+基データ!K199)</f>
        <v>-287.63975155279513</v>
      </c>
      <c r="C199">
        <f>基データ!B199-基データ!B198</f>
        <v>1.0999999999999943</v>
      </c>
    </row>
    <row r="200" spans="1:3" x14ac:dyDescent="0.65">
      <c r="A200" s="9">
        <f>基データ!A200</f>
        <v>42683</v>
      </c>
      <c r="B200" s="16">
        <f>基データ!F200-(基データ!I200+基データ!J200+基データ!K200)</f>
        <v>368.34368530020674</v>
      </c>
      <c r="C200">
        <f>基データ!B200-基データ!B199</f>
        <v>-0.39999999999999147</v>
      </c>
    </row>
    <row r="201" spans="1:3" x14ac:dyDescent="0.65">
      <c r="A201" s="9">
        <f>基データ!A201</f>
        <v>42684</v>
      </c>
      <c r="B201" s="16">
        <f>基データ!F201-(基データ!I201+基データ!J201+基データ!K201)</f>
        <v>409.35610766045556</v>
      </c>
      <c r="C201">
        <f>基データ!B201-基データ!B200</f>
        <v>0.29999999999999716</v>
      </c>
    </row>
    <row r="202" spans="1:3" x14ac:dyDescent="0.65">
      <c r="A202" s="9">
        <f>基データ!A202</f>
        <v>42685</v>
      </c>
      <c r="B202" s="16">
        <f>基データ!F202-(基データ!I202+基データ!J202+基データ!K202)</f>
        <v>57.393374741201114</v>
      </c>
      <c r="C202">
        <f>基データ!B202-基データ!B201</f>
        <v>0.89999999999999147</v>
      </c>
    </row>
    <row r="203" spans="1:3" x14ac:dyDescent="0.65">
      <c r="A203" s="9">
        <f>基データ!A203</f>
        <v>42686</v>
      </c>
      <c r="B203" s="16">
        <f>基データ!F203-(基データ!I203+基データ!J203+基データ!K203)</f>
        <v>-1161.6480331262942</v>
      </c>
      <c r="C203">
        <f>基データ!B203-基データ!B202</f>
        <v>-1</v>
      </c>
    </row>
    <row r="204" spans="1:3" x14ac:dyDescent="0.65">
      <c r="A204" s="9">
        <f>基データ!A204</f>
        <v>42687</v>
      </c>
      <c r="B204" s="16">
        <f>基データ!F204-(基データ!I204+基データ!J204+基データ!K204)</f>
        <v>115.33540372670814</v>
      </c>
      <c r="C204">
        <f>基データ!B204-基データ!B203</f>
        <v>-0.39999999999999147</v>
      </c>
    </row>
    <row r="205" spans="1:3" x14ac:dyDescent="0.65">
      <c r="A205" s="9">
        <f>基データ!A205</f>
        <v>42688</v>
      </c>
      <c r="B205" s="16">
        <f>基データ!F205-(基データ!I205+基データ!J205+基データ!K205)</f>
        <v>97.351966873705805</v>
      </c>
      <c r="C205">
        <f>基データ!B205-基データ!B204</f>
        <v>0.39999999999999147</v>
      </c>
    </row>
    <row r="206" spans="1:3" x14ac:dyDescent="0.65">
      <c r="A206" s="9">
        <f>基データ!A206</f>
        <v>42689</v>
      </c>
      <c r="B206" s="16">
        <f>基データ!F206-(基データ!I206+基データ!J206+基データ!K206)</f>
        <v>1110.3354037267081</v>
      </c>
      <c r="C206">
        <f>基データ!B206-基データ!B205</f>
        <v>-0.39999999999999147</v>
      </c>
    </row>
    <row r="207" spans="1:3" x14ac:dyDescent="0.65">
      <c r="A207" s="9">
        <f>基データ!A207</f>
        <v>42690</v>
      </c>
      <c r="C207">
        <f>基データ!B207-基データ!B206</f>
        <v>1</v>
      </c>
    </row>
    <row r="208" spans="1:3" x14ac:dyDescent="0.65">
      <c r="A208" s="9">
        <f>基データ!A208</f>
        <v>42691</v>
      </c>
    </row>
    <row r="209" spans="1:1" x14ac:dyDescent="0.65">
      <c r="A209" s="9">
        <f>基データ!A209</f>
        <v>42692</v>
      </c>
    </row>
    <row r="210" spans="1:1" x14ac:dyDescent="0.65">
      <c r="A210" s="9">
        <f>基データ!A210</f>
        <v>42693</v>
      </c>
    </row>
    <row r="211" spans="1:1" x14ac:dyDescent="0.65">
      <c r="A211" s="9">
        <f>基データ!A211</f>
        <v>42694</v>
      </c>
    </row>
    <row r="212" spans="1:1" x14ac:dyDescent="0.65">
      <c r="A212" s="9">
        <f>基データ!A212</f>
        <v>42695</v>
      </c>
    </row>
    <row r="213" spans="1:1" x14ac:dyDescent="0.65">
      <c r="A213" s="9">
        <f>基データ!A213</f>
        <v>42696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56" fitToWidth="2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9"/>
  <sheetViews>
    <sheetView topLeftCell="A55" zoomScale="40" zoomScaleNormal="40" workbookViewId="0">
      <selection activeCell="AC86" sqref="E86:AC169"/>
    </sheetView>
  </sheetViews>
  <sheetFormatPr defaultRowHeight="18.45" x14ac:dyDescent="0.65"/>
  <cols>
    <col min="1" max="1" width="12.85546875" customWidth="1"/>
    <col min="2" max="2" width="15" style="16" customWidth="1"/>
    <col min="3" max="4" width="15" customWidth="1"/>
    <col min="19" max="19" width="11.640625" customWidth="1"/>
    <col min="29" max="29" width="5.2109375" customWidth="1"/>
  </cols>
  <sheetData>
    <row r="1" spans="1:4" ht="48.45" customHeight="1" x14ac:dyDescent="0.65">
      <c r="A1" s="10" t="str">
        <f>基データ!A1</f>
        <v>日にち</v>
      </c>
      <c r="B1" s="17" t="s">
        <v>17</v>
      </c>
      <c r="C1" s="10" t="s">
        <v>14</v>
      </c>
      <c r="D1" s="18" t="s">
        <v>15</v>
      </c>
    </row>
    <row r="2" spans="1:4" x14ac:dyDescent="0.65">
      <c r="A2" s="9">
        <f>基データ!A2</f>
        <v>42485</v>
      </c>
    </row>
    <row r="3" spans="1:4" x14ac:dyDescent="0.65">
      <c r="A3" s="9">
        <f>基データ!A3</f>
        <v>42486</v>
      </c>
      <c r="C3">
        <f>基データ!B3-基データ!B2</f>
        <v>0</v>
      </c>
    </row>
    <row r="4" spans="1:4" x14ac:dyDescent="0.65">
      <c r="A4" s="9">
        <f>基データ!A4</f>
        <v>42487</v>
      </c>
      <c r="B4" s="16">
        <f>摂取カロリーと体重増減関係!B2+摂取カロリーと体重増減関係!B3</f>
        <v>-1062.608695652174</v>
      </c>
      <c r="C4">
        <f>基データ!B4-基データ!B3</f>
        <v>0.59999999999999432</v>
      </c>
      <c r="D4">
        <f>(基データ!K2-330)+(基データ!K3-330)</f>
        <v>-174</v>
      </c>
    </row>
    <row r="5" spans="1:4" x14ac:dyDescent="0.65">
      <c r="A5" s="9">
        <f>基データ!A5</f>
        <v>42488</v>
      </c>
      <c r="B5" s="16">
        <f>摂取カロリーと体重増減関係!B3+摂取カロリーと体重増減関係!B4</f>
        <v>-993.58385093167681</v>
      </c>
      <c r="C5">
        <f>基データ!B5-基データ!B4</f>
        <v>-0.59999999999999432</v>
      </c>
      <c r="D5">
        <f>(基データ!K3-330)+(基データ!K4-330)</f>
        <v>-139</v>
      </c>
    </row>
    <row r="6" spans="1:4" x14ac:dyDescent="0.65">
      <c r="A6" s="9">
        <f>基データ!A6</f>
        <v>42489</v>
      </c>
      <c r="B6" s="16">
        <f>摂取カロリーと体重増減関係!B4+摂取カロリーと体重増減関係!B5</f>
        <v>-2378.5838509316768</v>
      </c>
      <c r="C6">
        <f>基データ!B6-基データ!B5</f>
        <v>-1</v>
      </c>
      <c r="D6">
        <f>(基データ!K4-330)+(基データ!K5-330)</f>
        <v>188</v>
      </c>
    </row>
    <row r="7" spans="1:4" x14ac:dyDescent="0.65">
      <c r="A7" s="9">
        <f>基データ!A7</f>
        <v>42490</v>
      </c>
      <c r="B7" s="16">
        <f>摂取カロリーと体重増減関係!B5+摂取カロリーと体重増減関係!B6</f>
        <v>-2278.6501035196688</v>
      </c>
      <c r="C7">
        <f>基データ!B7-基データ!B6</f>
        <v>0</v>
      </c>
      <c r="D7">
        <f>(基データ!K5-330)+(基データ!K6-330)</f>
        <v>240</v>
      </c>
    </row>
    <row r="8" spans="1:4" x14ac:dyDescent="0.65">
      <c r="A8" s="9">
        <f>基データ!A8</f>
        <v>42491</v>
      </c>
      <c r="B8" s="16">
        <f>摂取カロリーと体重増減関係!B6+摂取カロリーと体重増減関係!B7</f>
        <v>-1270.6915113871637</v>
      </c>
      <c r="C8">
        <f>基データ!B8-基データ!B7</f>
        <v>0</v>
      </c>
      <c r="D8">
        <f>(基データ!K6-330)+(基データ!K7-330)</f>
        <v>-124</v>
      </c>
    </row>
    <row r="9" spans="1:4" x14ac:dyDescent="0.65">
      <c r="A9" s="9">
        <f>基データ!A9</f>
        <v>42492</v>
      </c>
      <c r="B9" s="16">
        <f>摂取カロリーと体重増減関係!B7+摂取カロリーと体重増減関係!B8</f>
        <v>483.3084886128363</v>
      </c>
      <c r="C9">
        <f>基データ!B9-基データ!B8</f>
        <v>0.19999999999998863</v>
      </c>
      <c r="D9">
        <f>(基データ!K7-330)+(基データ!K8-330)</f>
        <v>11</v>
      </c>
    </row>
    <row r="10" spans="1:4" x14ac:dyDescent="0.65">
      <c r="A10" s="9">
        <f>基データ!A10</f>
        <v>42493</v>
      </c>
      <c r="B10" s="16">
        <f>摂取カロリーと体重増減関係!B8+摂取カロリーと体重増減関係!B9</f>
        <v>-305.68322981366464</v>
      </c>
      <c r="C10">
        <f>基データ!B10-基データ!B9</f>
        <v>-0.79999999999999716</v>
      </c>
      <c r="D10">
        <f>(基データ!K8-330)+(基データ!K9-330)</f>
        <v>80</v>
      </c>
    </row>
    <row r="11" spans="1:4" x14ac:dyDescent="0.65">
      <c r="A11" s="9">
        <f>基データ!A11</f>
        <v>42494</v>
      </c>
      <c r="B11" s="16">
        <f>摂取カロリーと体重増減関係!B9+摂取カロリーと体重増減関係!B10</f>
        <v>-1316.7080745341618</v>
      </c>
      <c r="C11">
        <f>基データ!B11-基データ!B10</f>
        <v>0</v>
      </c>
      <c r="D11">
        <f>(基データ!K9-330)+(基データ!K10-330)</f>
        <v>-191</v>
      </c>
    </row>
    <row r="12" spans="1:4" x14ac:dyDescent="0.65">
      <c r="A12" s="9">
        <f>基データ!A12</f>
        <v>42495</v>
      </c>
      <c r="B12" s="16">
        <f>摂取カロリーと体重増減関係!B10+摂取カロリーと体重増減関係!B11</f>
        <v>-1276.7412008281581</v>
      </c>
      <c r="C12">
        <f>基データ!B12-基データ!B11</f>
        <v>0</v>
      </c>
      <c r="D12">
        <f>(基データ!K10-330)+(基データ!K11-330)</f>
        <v>367</v>
      </c>
    </row>
    <row r="13" spans="1:4" x14ac:dyDescent="0.65">
      <c r="A13" s="9">
        <f>基データ!A13</f>
        <v>42496</v>
      </c>
      <c r="B13" s="16">
        <f>摂取カロリーと体重増減関係!B11+摂取カロリーと体重増減関係!B12</f>
        <v>-1423.7412008281581</v>
      </c>
      <c r="C13">
        <f>基データ!B13-基データ!B12</f>
        <v>0</v>
      </c>
      <c r="D13">
        <f>(基データ!K11-330)+(基データ!K12-330)</f>
        <v>1179</v>
      </c>
    </row>
    <row r="14" spans="1:4" x14ac:dyDescent="0.65">
      <c r="A14" s="9">
        <f>基データ!A14</f>
        <v>42497</v>
      </c>
      <c r="B14" s="16">
        <f>摂取カロリーと体重増減関係!B12+摂取カロリーと体重増減関係!B13</f>
        <v>-534.74120082815807</v>
      </c>
      <c r="C14">
        <f>基データ!B14-基データ!B13</f>
        <v>0.5</v>
      </c>
      <c r="D14">
        <f>(基データ!K12-330)+(基データ!K13-330)</f>
        <v>948</v>
      </c>
    </row>
    <row r="15" spans="1:4" x14ac:dyDescent="0.65">
      <c r="A15" s="9">
        <f>基データ!A15</f>
        <v>42498</v>
      </c>
      <c r="B15" s="16">
        <f>摂取カロリーと体重増減関係!B13+摂取カロリーと体重増減関係!B14</f>
        <v>-1335.7204968944106</v>
      </c>
      <c r="C15">
        <f>基データ!B15-基データ!B14</f>
        <v>-0.70000000000000284</v>
      </c>
      <c r="D15">
        <f>(基データ!K13-330)+(基データ!K14-330)</f>
        <v>600</v>
      </c>
    </row>
    <row r="16" spans="1:4" x14ac:dyDescent="0.65">
      <c r="A16" s="9">
        <f>基データ!A16</f>
        <v>42499</v>
      </c>
      <c r="B16" s="16">
        <f>摂取カロリーと体重増減関係!B14+摂取カロリーと体重増減関係!B15</f>
        <v>-1903.7287784679093</v>
      </c>
      <c r="C16">
        <f>基データ!B16-基データ!B15</f>
        <v>0</v>
      </c>
      <c r="D16">
        <f>(基データ!K14-330)+(基データ!K15-330)</f>
        <v>146</v>
      </c>
    </row>
    <row r="17" spans="1:4" x14ac:dyDescent="0.65">
      <c r="A17" s="9">
        <f>基データ!A17</f>
        <v>42500</v>
      </c>
      <c r="B17" s="16">
        <f>摂取カロリーと体重増減関係!B15+摂取カロリーと体重増減関係!B16</f>
        <v>525.24223602484471</v>
      </c>
      <c r="C17">
        <f>基データ!B17-基データ!B16</f>
        <v>0</v>
      </c>
      <c r="D17">
        <f>(基データ!K15-330)+(基データ!K16-330)</f>
        <v>-115</v>
      </c>
    </row>
    <row r="18" spans="1:4" x14ac:dyDescent="0.65">
      <c r="A18" s="9">
        <f>基データ!A18</f>
        <v>42501</v>
      </c>
      <c r="B18" s="16">
        <f>摂取カロリーと体重増減関係!B16+摂取カロリーと体重増減関係!B17</f>
        <v>996.24223602484471</v>
      </c>
      <c r="C18">
        <f>基データ!B18-基データ!B17</f>
        <v>0</v>
      </c>
      <c r="D18">
        <f>(基データ!K16-330)+(基データ!K17-330)</f>
        <v>-149</v>
      </c>
    </row>
    <row r="19" spans="1:4" x14ac:dyDescent="0.65">
      <c r="A19" s="9">
        <f>基データ!A19</f>
        <v>42502</v>
      </c>
      <c r="B19" s="16">
        <f>摂取カロリーと体重増減関係!B17+摂取カロリーと体重増減関係!B18</f>
        <v>-966.75776397515529</v>
      </c>
      <c r="C19">
        <f>基データ!B19-基データ!B18</f>
        <v>-0.79999999999999716</v>
      </c>
      <c r="D19">
        <f>(基データ!K17-330)+(基データ!K18-330)</f>
        <v>-203</v>
      </c>
    </row>
    <row r="20" spans="1:4" x14ac:dyDescent="0.65">
      <c r="A20" s="9">
        <f>基データ!A20</f>
        <v>42503</v>
      </c>
      <c r="B20" s="16">
        <f>摂取カロリーと体重増減関係!B18+摂取カロリーと体重増減関係!B19</f>
        <v>-1514.7908902691511</v>
      </c>
      <c r="C20">
        <f>基データ!B20-基データ!B19</f>
        <v>0</v>
      </c>
      <c r="D20">
        <f>(基データ!K18-330)+(基データ!K19-330)</f>
        <v>256</v>
      </c>
    </row>
    <row r="21" spans="1:4" x14ac:dyDescent="0.65">
      <c r="A21" s="9">
        <f>基データ!A21</f>
        <v>42504</v>
      </c>
      <c r="B21" s="16">
        <f>摂取カロリーと体重増減関係!B19+摂取カロリーと体重増減関係!B20</f>
        <v>-908.82401656314687</v>
      </c>
      <c r="C21">
        <f>基データ!B21-基データ!B20</f>
        <v>0</v>
      </c>
      <c r="D21">
        <f>(基データ!K19-330)+(基データ!K20-330)</f>
        <v>465</v>
      </c>
    </row>
    <row r="22" spans="1:4" x14ac:dyDescent="0.65">
      <c r="A22" s="9">
        <f>基データ!A22</f>
        <v>42505</v>
      </c>
      <c r="B22" s="16">
        <f>摂取カロリーと体重増減関係!B20+摂取カロリーと体重増減関係!B21</f>
        <v>386.17598343685313</v>
      </c>
      <c r="C22">
        <f>基データ!B22-基データ!B21</f>
        <v>0</v>
      </c>
      <c r="D22">
        <f>(基データ!K20-330)+(基データ!K21-330)</f>
        <v>661</v>
      </c>
    </row>
    <row r="23" spans="1:4" x14ac:dyDescent="0.65">
      <c r="A23" s="9">
        <f>基データ!A23</f>
        <v>42506</v>
      </c>
      <c r="B23" s="16">
        <f>摂取カロリーと体重増減関係!B21+摂取カロリーと体重増減関係!B22</f>
        <v>210.17598343685313</v>
      </c>
      <c r="C23">
        <f>基データ!B23-基データ!B22</f>
        <v>-0.5</v>
      </c>
      <c r="D23">
        <f>(基データ!K21-330)+(基データ!K22-330)</f>
        <v>464</v>
      </c>
    </row>
    <row r="24" spans="1:4" x14ac:dyDescent="0.65">
      <c r="A24" s="9">
        <f>基データ!A24</f>
        <v>42507</v>
      </c>
      <c r="B24" s="16">
        <f>摂取カロリーと体重増減関係!B22+摂取カロリーと体重増減関係!B23</f>
        <v>-78.844720496894297</v>
      </c>
      <c r="C24">
        <f>基データ!B24-基データ!B23</f>
        <v>0</v>
      </c>
      <c r="D24">
        <f>(基データ!K22-330)+(基データ!K23-330)</f>
        <v>255</v>
      </c>
    </row>
    <row r="25" spans="1:4" x14ac:dyDescent="0.65">
      <c r="A25" s="9">
        <f>基データ!A25</f>
        <v>42508</v>
      </c>
      <c r="B25" s="16">
        <f>摂取カロリーと体重増減関係!B23+摂取カロリーと体重増減関係!B24</f>
        <v>1396.1345755693583</v>
      </c>
      <c r="C25">
        <f>基データ!B25-基データ!B24</f>
        <v>1.2000000000000028</v>
      </c>
      <c r="D25">
        <f>(基データ!K23-330)+(基データ!K24-330)</f>
        <v>589</v>
      </c>
    </row>
    <row r="26" spans="1:4" x14ac:dyDescent="0.65">
      <c r="A26" s="9">
        <f>基データ!A26</f>
        <v>42509</v>
      </c>
      <c r="B26" s="16">
        <f>摂取カロリーと体重増減関係!B24+摂取カロリーと体重増減関係!B25</f>
        <v>-807.81573498964826</v>
      </c>
      <c r="C26">
        <f>基データ!B26-基データ!B25</f>
        <v>-1.2000000000000028</v>
      </c>
      <c r="D26">
        <f>(基データ!K24-330)+(基データ!K25-330)</f>
        <v>777</v>
      </c>
    </row>
    <row r="27" spans="1:4" x14ac:dyDescent="0.65">
      <c r="A27" s="9">
        <f>基データ!A27</f>
        <v>42510</v>
      </c>
      <c r="B27" s="16">
        <f>摂取カロリーと体重増減関係!B25+摂取カロリーと体重増減関係!B26</f>
        <v>-2905.8157349896483</v>
      </c>
      <c r="C27">
        <f>基データ!B27-基データ!B26</f>
        <v>0</v>
      </c>
      <c r="D27">
        <f>(基データ!K25-330)+(基データ!K26-330)</f>
        <v>744</v>
      </c>
    </row>
    <row r="28" spans="1:4" x14ac:dyDescent="0.65">
      <c r="A28" s="9">
        <f>基データ!A28</f>
        <v>42511</v>
      </c>
      <c r="B28" s="16">
        <f>摂取カロリーと体重増減関係!B26+摂取カロリーと体重増減関係!B27</f>
        <v>-1151.8654244306417</v>
      </c>
      <c r="C28">
        <f>基データ!B28-基データ!B27</f>
        <v>0</v>
      </c>
      <c r="D28">
        <f>(基データ!K26-330)+(基データ!K27-330)</f>
        <v>69</v>
      </c>
    </row>
    <row r="29" spans="1:4" x14ac:dyDescent="0.65">
      <c r="A29" s="9">
        <f>基データ!A29</f>
        <v>42512</v>
      </c>
      <c r="B29" s="16">
        <f>摂取カロリーと体重増減関係!B27+摂取カロリーと体重増減関係!B28</f>
        <v>-910.86542443064172</v>
      </c>
      <c r="C29">
        <f>基データ!B29-基データ!B28</f>
        <v>-0.29999999999999716</v>
      </c>
      <c r="D29">
        <f>(基データ!K27-330)+(基データ!K28-330)</f>
        <v>-208</v>
      </c>
    </row>
    <row r="30" spans="1:4" x14ac:dyDescent="0.65">
      <c r="A30" s="9">
        <f>基データ!A30</f>
        <v>42513</v>
      </c>
      <c r="B30" s="16">
        <f>摂取カロリーと体重増減関係!B28+摂取カロリーと体重増減関係!B29</f>
        <v>-1472.8778467908905</v>
      </c>
      <c r="C30">
        <f>基データ!B30-基データ!B29</f>
        <v>-0.20000000000000284</v>
      </c>
      <c r="D30">
        <f>(基データ!K28-330)+(基データ!K29-330)</f>
        <v>161</v>
      </c>
    </row>
    <row r="31" spans="1:4" x14ac:dyDescent="0.65">
      <c r="A31" s="9">
        <f>基データ!A31</f>
        <v>42514</v>
      </c>
      <c r="B31" s="16">
        <f>摂取カロリーと体重増減関係!B29+摂取カロリーと体重増減関係!B30</f>
        <v>-265.89855072463797</v>
      </c>
      <c r="C31">
        <f>基データ!B31-基データ!B30</f>
        <v>0.40000000000000568</v>
      </c>
      <c r="D31">
        <f>(基データ!K29-330)+(基データ!K30-330)</f>
        <v>354</v>
      </c>
    </row>
    <row r="32" spans="1:4" x14ac:dyDescent="0.65">
      <c r="A32" s="9">
        <f>基データ!A32</f>
        <v>42515</v>
      </c>
      <c r="B32" s="16">
        <f>摂取カロリーと体重増減関係!B30+摂取カロリーと体重増減関係!B31</f>
        <v>-563.89026915113845</v>
      </c>
      <c r="C32">
        <f>基データ!B32-基データ!B31</f>
        <v>-0.79999999999999716</v>
      </c>
      <c r="D32">
        <f>(基データ!K30-330)+(基データ!K31-330)</f>
        <v>144</v>
      </c>
    </row>
    <row r="33" spans="1:4" x14ac:dyDescent="0.65">
      <c r="A33" s="9">
        <f>基データ!A33</f>
        <v>42516</v>
      </c>
      <c r="B33" s="16">
        <f>摂取カロリーと体重増減関係!B31+摂取カロリーと体重増減関係!B32</f>
        <v>-1273.9068322981366</v>
      </c>
      <c r="C33">
        <f>基データ!B33-基データ!B32</f>
        <v>0.5</v>
      </c>
      <c r="D33">
        <f>(基データ!K31-330)+(基データ!K32-330)</f>
        <v>-35</v>
      </c>
    </row>
    <row r="34" spans="1:4" x14ac:dyDescent="0.65">
      <c r="A34" s="9">
        <f>基データ!A34</f>
        <v>42517</v>
      </c>
      <c r="B34" s="16">
        <f>摂取カロリーと体重増減関係!B32+摂取カロリーと体重増減関係!B33</f>
        <v>-921.9192546583854</v>
      </c>
      <c r="C34">
        <f>基データ!B34-基データ!B33</f>
        <v>-0.70000000000000284</v>
      </c>
      <c r="D34">
        <f>(基データ!K32-330)+(基データ!K33-330)</f>
        <v>16</v>
      </c>
    </row>
    <row r="35" spans="1:4" x14ac:dyDescent="0.65">
      <c r="A35" s="9">
        <f>基データ!A35</f>
        <v>42518</v>
      </c>
      <c r="B35" s="16">
        <f>摂取カロリーと体重増減関係!B33+摂取カロリーと体重増減関係!B34</f>
        <v>-887.92753623188401</v>
      </c>
      <c r="C35">
        <f>基データ!B35-基データ!B34</f>
        <v>0.5</v>
      </c>
      <c r="D35">
        <f>(基データ!K33-330)+(基データ!K34-330)</f>
        <v>58</v>
      </c>
    </row>
    <row r="36" spans="1:4" x14ac:dyDescent="0.65">
      <c r="A36" s="9">
        <f>基データ!A36</f>
        <v>42519</v>
      </c>
      <c r="B36" s="16">
        <f>摂取カロリーと体重増減関係!B34+摂取カロリーと体重増減関係!B35</f>
        <v>-693.93581780538261</v>
      </c>
      <c r="C36">
        <f>基データ!B36-基データ!B35</f>
        <v>0</v>
      </c>
      <c r="D36">
        <f>(基データ!K34-330)+(基データ!K35-330)</f>
        <v>219</v>
      </c>
    </row>
    <row r="37" spans="1:4" x14ac:dyDescent="0.65">
      <c r="A37" s="9">
        <f>基データ!A37</f>
        <v>42520</v>
      </c>
      <c r="B37" s="16">
        <f>摂取カロリーと体重増減関係!B35+摂取カロリーと体重増減関係!B36</f>
        <v>-1870.9151138716352</v>
      </c>
      <c r="C37">
        <f>基データ!B37-基データ!B36</f>
        <v>-0.29999999999999716</v>
      </c>
      <c r="D37">
        <f>(基データ!K35-330)+(基データ!K36-330)</f>
        <v>718</v>
      </c>
    </row>
    <row r="38" spans="1:4" x14ac:dyDescent="0.65">
      <c r="A38" s="9">
        <f>基データ!A38</f>
        <v>42521</v>
      </c>
      <c r="B38" s="16">
        <f>摂取カロリーと体重増減関係!B36+摂取カロリーと体重増減関係!B37</f>
        <v>-1769.927536231884</v>
      </c>
      <c r="C38">
        <f>基データ!B38-基データ!B37</f>
        <v>0</v>
      </c>
      <c r="D38">
        <f>(基データ!K36-330)+(基データ!K37-330)</f>
        <v>373</v>
      </c>
    </row>
    <row r="39" spans="1:4" x14ac:dyDescent="0.65">
      <c r="A39" s="9">
        <f>基データ!A39</f>
        <v>42522</v>
      </c>
      <c r="B39" s="16">
        <f>摂取カロリーと体重増減関係!B37+摂取カロリーと体重増減関係!B38</f>
        <v>-69.939958592132825</v>
      </c>
      <c r="C39">
        <f>基データ!B39-基データ!B38</f>
        <v>0.79999999999999716</v>
      </c>
      <c r="D39">
        <f>(基データ!K37-330)+(基データ!K38-330)</f>
        <v>-68</v>
      </c>
    </row>
    <row r="40" spans="1:4" x14ac:dyDescent="0.65">
      <c r="A40" s="9">
        <f>基データ!A40</f>
        <v>42523</v>
      </c>
      <c r="B40" s="16">
        <f>摂取カロリーと体重増減関係!B38+摂取カロリーと体重増減関係!B39</f>
        <v>-420.90683229813658</v>
      </c>
      <c r="C40">
        <f>基データ!B40-基データ!B39</f>
        <v>-0.79999999999999716</v>
      </c>
      <c r="D40">
        <f>(基データ!K38-330)+(基データ!K39-330)</f>
        <v>636</v>
      </c>
    </row>
    <row r="41" spans="1:4" x14ac:dyDescent="0.65">
      <c r="A41" s="9">
        <f>基データ!A41</f>
        <v>42524</v>
      </c>
      <c r="B41" s="16">
        <f>摂取カロリーと体重増減関係!B39+摂取カロリーと体重増減関係!B40</f>
        <v>-859.90683229813658</v>
      </c>
      <c r="C41">
        <f>基データ!B41-基データ!B40</f>
        <v>-0.10000000000000853</v>
      </c>
      <c r="D41">
        <f>(基データ!K39-330)+(基データ!K40-330)</f>
        <v>747</v>
      </c>
    </row>
    <row r="42" spans="1:4" x14ac:dyDescent="0.65">
      <c r="A42" s="9">
        <f>基データ!A42</f>
        <v>42525</v>
      </c>
      <c r="B42" s="16">
        <f>摂取カロリーと体重増減関係!B40+摂取カロリーと体重増減関係!B41</f>
        <v>360.05590062111787</v>
      </c>
      <c r="C42">
        <f>基データ!B42-基データ!B41</f>
        <v>0.10000000000000853</v>
      </c>
      <c r="D42">
        <f>(基データ!K40-330)+(基データ!K41-330)</f>
        <v>455</v>
      </c>
    </row>
    <row r="43" spans="1:4" x14ac:dyDescent="0.65">
      <c r="A43" s="9">
        <f>基データ!A43</f>
        <v>42526</v>
      </c>
      <c r="B43" s="16">
        <f>摂取カロリーと体重増減関係!B41+摂取カロリーと体重増減関係!B42</f>
        <v>225.05590062111787</v>
      </c>
      <c r="C43">
        <f>基データ!B43-基データ!B42</f>
        <v>0.39999999999999147</v>
      </c>
      <c r="D43">
        <f>(基データ!K41-330)+(基データ!K42-330)</f>
        <v>630</v>
      </c>
    </row>
    <row r="44" spans="1:4" x14ac:dyDescent="0.65">
      <c r="A44" s="9">
        <f>基データ!A44</f>
        <v>42527</v>
      </c>
      <c r="B44" s="16">
        <f>摂取カロリーと体重増減関係!B42+摂取カロリーと体重増減関係!B43</f>
        <v>-341.9233954451347</v>
      </c>
      <c r="C44">
        <f>基データ!B44-基データ!B43</f>
        <v>0</v>
      </c>
      <c r="D44">
        <f>(基データ!K42-330)+(基データ!K43-330)</f>
        <v>517</v>
      </c>
    </row>
    <row r="45" spans="1:4" x14ac:dyDescent="0.65">
      <c r="A45" s="9">
        <f>基データ!A45</f>
        <v>42528</v>
      </c>
      <c r="B45" s="16">
        <f>摂取カロリーと体重増減関係!B43+摂取カロリーと体重増減関係!B44</f>
        <v>441.09316770186342</v>
      </c>
      <c r="C45">
        <f>基データ!B45-基データ!B44</f>
        <v>0.40000000000000568</v>
      </c>
      <c r="D45">
        <f>(基データ!K43-330)+(基データ!K44-330)</f>
        <v>383</v>
      </c>
    </row>
    <row r="46" spans="1:4" x14ac:dyDescent="0.65">
      <c r="A46" s="9">
        <f>基データ!A46</f>
        <v>42529</v>
      </c>
      <c r="B46" s="16">
        <f>摂取カロリーと体重増減関係!B44+摂取カロリーと体重増減関係!B45</f>
        <v>-201.89026915113845</v>
      </c>
      <c r="C46">
        <f>基データ!B46-基データ!B45</f>
        <v>-0.70000000000000284</v>
      </c>
      <c r="D46">
        <f>(基データ!K44-330)+(基データ!K45-330)</f>
        <v>436</v>
      </c>
    </row>
    <row r="47" spans="1:4" x14ac:dyDescent="0.65">
      <c r="A47" s="9">
        <f>基データ!A47</f>
        <v>42530</v>
      </c>
      <c r="B47" s="16">
        <f>摂取カロリーと体重増減関係!B45+摂取カロリーと体重増減関係!B46</f>
        <v>-1151.9026915113873</v>
      </c>
      <c r="C47">
        <f>基データ!B47-基データ!B46</f>
        <v>0</v>
      </c>
      <c r="D47">
        <f>(基データ!K45-330)+(基データ!K46-330)</f>
        <v>309</v>
      </c>
    </row>
    <row r="48" spans="1:4" x14ac:dyDescent="0.65">
      <c r="A48" s="9">
        <f>基データ!A48</f>
        <v>42531</v>
      </c>
      <c r="B48" s="16">
        <f>摂取カロリーと体重増減関係!B46+摂取カロリーと体重増減関係!B47</f>
        <v>-892.93167701863422</v>
      </c>
      <c r="C48">
        <f>基データ!B48-基データ!B47</f>
        <v>-0.59999999999999432</v>
      </c>
      <c r="D48">
        <f>(基データ!K46-330)+(基データ!K47-330)</f>
        <v>228</v>
      </c>
    </row>
    <row r="49" spans="1:4" x14ac:dyDescent="0.65">
      <c r="A49" s="9">
        <f>基データ!A49</f>
        <v>42532</v>
      </c>
      <c r="B49" s="16">
        <f>摂取カロリーと体重増減関係!B47+摂取カロリーと体重増減関係!B48</f>
        <v>-656.95652173913095</v>
      </c>
      <c r="C49">
        <f>基データ!B49-基データ!B48</f>
        <v>0.5</v>
      </c>
      <c r="D49">
        <f>(基データ!K47-330)+(基データ!K48-330)</f>
        <v>363</v>
      </c>
    </row>
    <row r="50" spans="1:4" x14ac:dyDescent="0.65">
      <c r="A50" s="9">
        <f>基データ!A50</f>
        <v>42533</v>
      </c>
      <c r="B50" s="16">
        <f>摂取カロリーと体重増減関係!B48+摂取カロリーと体重増減関係!B49</f>
        <v>-313.96066252588025</v>
      </c>
      <c r="C50">
        <f>基データ!B50-基データ!B49</f>
        <v>-0.30000000000001137</v>
      </c>
      <c r="D50">
        <f>(基データ!K48-330)+(基データ!K49-330)</f>
        <v>471</v>
      </c>
    </row>
    <row r="51" spans="1:4" x14ac:dyDescent="0.65">
      <c r="A51" s="9">
        <f>基データ!A51</f>
        <v>42534</v>
      </c>
      <c r="B51" s="16">
        <f>摂取カロリーと体重増減関係!B49+摂取カロリーと体重増減関係!B50</f>
        <v>-349.95238095238074</v>
      </c>
      <c r="C51">
        <f>基データ!B51-基データ!B50</f>
        <v>0</v>
      </c>
      <c r="D51">
        <f>(基データ!K49-330)+(基データ!K50-330)</f>
        <v>268</v>
      </c>
    </row>
    <row r="52" spans="1:4" x14ac:dyDescent="0.65">
      <c r="A52" s="9">
        <f>基データ!A52</f>
        <v>42535</v>
      </c>
      <c r="B52" s="16">
        <f>摂取カロリーと体重増減関係!B50+摂取カロリーと体重増減関係!B51</f>
        <v>-166.96480331262865</v>
      </c>
      <c r="C52">
        <f>基データ!B52-基データ!B51</f>
        <v>0.40000000000000568</v>
      </c>
      <c r="D52">
        <f>(基データ!K50-330)+(基データ!K51-330)</f>
        <v>250</v>
      </c>
    </row>
    <row r="53" spans="1:4" x14ac:dyDescent="0.65">
      <c r="A53" s="9">
        <f>基データ!A53</f>
        <v>42536</v>
      </c>
      <c r="B53" s="16">
        <f>摂取カロリーと体重増減関係!B51+摂取カロリーと体重増減関係!B52</f>
        <v>-134.94824016563143</v>
      </c>
      <c r="C53">
        <f>基データ!B53-基データ!B52</f>
        <v>0.5</v>
      </c>
      <c r="D53">
        <f>(基データ!K51-330)+(基データ!K52-330)</f>
        <v>517</v>
      </c>
    </row>
    <row r="54" spans="1:4" x14ac:dyDescent="0.65">
      <c r="A54" s="9">
        <f>基データ!A54</f>
        <v>42537</v>
      </c>
      <c r="B54" s="16">
        <f>摂取カロリーと体重増減関係!B52+摂取カロリーと体重増減関係!B53</f>
        <v>-1125.9109730848868</v>
      </c>
      <c r="C54">
        <f>基データ!B54-基データ!B53</f>
        <v>-1.4000000000000057</v>
      </c>
      <c r="D54">
        <f>(基データ!K52-330)+(基データ!K53-330)</f>
        <v>647</v>
      </c>
    </row>
    <row r="55" spans="1:4" x14ac:dyDescent="0.65">
      <c r="A55" s="9">
        <f>基データ!A55</f>
        <v>42538</v>
      </c>
      <c r="B55" s="16">
        <f>摂取カロリーと体重増減関係!B53+摂取カロリーと体重増減関係!B54</f>
        <v>-1487.9482401656323</v>
      </c>
      <c r="C55">
        <f>基データ!B55-基データ!B54</f>
        <v>0</v>
      </c>
      <c r="D55">
        <f>(基データ!K53-330)+(基データ!K54-330)</f>
        <v>511</v>
      </c>
    </row>
    <row r="56" spans="1:4" x14ac:dyDescent="0.65">
      <c r="A56" s="9">
        <f>基データ!A56</f>
        <v>42539</v>
      </c>
      <c r="B56" s="16">
        <f>摂取カロリーと体重増減関係!B54+摂取カロリーと体重増減関係!B55</f>
        <v>-446.00621118012532</v>
      </c>
      <c r="C56">
        <f>基データ!B56-基データ!B55</f>
        <v>0.5</v>
      </c>
      <c r="D56">
        <f>(基データ!K54-330)+(基データ!K55-330)</f>
        <v>420</v>
      </c>
    </row>
    <row r="57" spans="1:4" x14ac:dyDescent="0.65">
      <c r="A57" s="9">
        <f>基データ!A57</f>
        <v>42540</v>
      </c>
      <c r="B57" s="16">
        <f>摂取カロリーと体重増減関係!B55+摂取カロリーと体重増減関係!B56</f>
        <v>-460.98550724637698</v>
      </c>
      <c r="C57">
        <f>基データ!B57-基データ!B56</f>
        <v>-0.59999999999999432</v>
      </c>
      <c r="D57">
        <f>(基データ!K55-330)+(基データ!K56-330)</f>
        <v>405</v>
      </c>
    </row>
    <row r="58" spans="1:4" x14ac:dyDescent="0.65">
      <c r="A58" s="9">
        <f>基データ!A58</f>
        <v>42541</v>
      </c>
      <c r="B58" s="16">
        <f>摂取カロリーと体重増減関係!B56+摂取カロリーと体重増減関係!B57</f>
        <v>-1499.9896480331263</v>
      </c>
      <c r="C58">
        <f>基データ!B58-基データ!B57</f>
        <v>-0.5</v>
      </c>
      <c r="D58">
        <f>(基データ!K56-330)+(基データ!K57-330)</f>
        <v>920</v>
      </c>
    </row>
    <row r="59" spans="1:4" x14ac:dyDescent="0.65">
      <c r="A59" s="9">
        <f>基データ!A59</f>
        <v>42542</v>
      </c>
      <c r="B59" s="16">
        <f>摂取カロリーと体重増減関係!B57+摂取カロリーと体重増減関係!B58</f>
        <v>-1119.0351966873704</v>
      </c>
      <c r="C59">
        <f>基データ!B59-基データ!B58</f>
        <v>0</v>
      </c>
      <c r="D59">
        <f>(基データ!K57-330)+(基データ!K58-330)</f>
        <v>756</v>
      </c>
    </row>
    <row r="60" spans="1:4" x14ac:dyDescent="0.65">
      <c r="A60" s="9">
        <f>基データ!A60</f>
        <v>42543</v>
      </c>
      <c r="B60" s="16">
        <f>摂取カロリーと体重増減関係!B58+摂取カロリーと体重増減関係!B59</f>
        <v>-968.05590062111696</v>
      </c>
      <c r="C60">
        <f>基データ!B60-基データ!B59</f>
        <v>0</v>
      </c>
      <c r="D60">
        <f>(基データ!K58-330)+(基データ!K59-330)</f>
        <v>626</v>
      </c>
    </row>
    <row r="61" spans="1:4" x14ac:dyDescent="0.65">
      <c r="A61" s="9">
        <f>基データ!A61</f>
        <v>42544</v>
      </c>
      <c r="B61" s="16">
        <f>摂取カロリーと体重増減関係!B59+摂取カロリーと体重増減関係!B60</f>
        <v>-939.05590062111696</v>
      </c>
      <c r="C61">
        <f>基データ!B61-基データ!B60</f>
        <v>-0.29999999999999716</v>
      </c>
      <c r="D61">
        <f>(基データ!K59-330)+(基データ!K60-330)</f>
        <v>676</v>
      </c>
    </row>
    <row r="62" spans="1:4" x14ac:dyDescent="0.65">
      <c r="A62" s="9">
        <f>基データ!A62</f>
        <v>42545</v>
      </c>
      <c r="B62" s="16">
        <f>摂取カロリーと体重増減関係!B60+摂取カロリーと体重増減関係!B61</f>
        <v>243.93167701863422</v>
      </c>
      <c r="C62">
        <f>基データ!B62-基データ!B61</f>
        <v>0.59999999999999432</v>
      </c>
      <c r="D62">
        <f>(基データ!K60-330)+(基データ!K61-330)</f>
        <v>168</v>
      </c>
    </row>
    <row r="63" spans="1:4" x14ac:dyDescent="0.65">
      <c r="A63" s="9">
        <f>基データ!A63</f>
        <v>42546</v>
      </c>
      <c r="B63" s="16">
        <f>摂取カロリーと体重増減関係!B61+摂取カロリーと体重増減関係!B62</f>
        <v>-82.055900621117871</v>
      </c>
      <c r="C63">
        <f>基データ!B63-基データ!B62</f>
        <v>-0.39999999999999147</v>
      </c>
      <c r="D63">
        <f>(基データ!K61-330)+(基データ!K62-330)</f>
        <v>622</v>
      </c>
    </row>
    <row r="64" spans="1:4" x14ac:dyDescent="0.65">
      <c r="A64" s="9">
        <f>基データ!A64</f>
        <v>42547</v>
      </c>
      <c r="B64" s="16">
        <f>摂取カロリーと体重増減関係!B62+摂取カロリーと体重増減関係!B63</f>
        <v>-1059.0476190476193</v>
      </c>
      <c r="C64">
        <f>基データ!B64-基データ!B63</f>
        <v>0</v>
      </c>
      <c r="D64">
        <f>(基データ!K62-330)+(基データ!K63-330)</f>
        <v>1020</v>
      </c>
    </row>
    <row r="65" spans="1:4" x14ac:dyDescent="0.65">
      <c r="A65" s="9">
        <f>基データ!A65</f>
        <v>42548</v>
      </c>
      <c r="B65" s="16">
        <f>摂取カロリーと体重増減関係!B63+摂取カロリーと体重増減関係!B64</f>
        <v>-1229.0641821946174</v>
      </c>
      <c r="C65">
        <f>基データ!B65-基データ!B64</f>
        <v>0</v>
      </c>
      <c r="D65">
        <f>(基データ!K63-330)+(基データ!K64-330)</f>
        <v>603</v>
      </c>
    </row>
    <row r="66" spans="1:4" x14ac:dyDescent="0.65">
      <c r="A66" s="9">
        <f>基データ!A66</f>
        <v>42549</v>
      </c>
      <c r="B66" s="16">
        <f>摂取カロリーと体重増減関係!B64+摂取カロリーと体重増減関係!B65</f>
        <v>-1116.0641821946174</v>
      </c>
      <c r="C66">
        <f>基データ!B66-基データ!B65</f>
        <v>0</v>
      </c>
      <c r="D66">
        <f>(基データ!K64-330)+(基データ!K65-330)</f>
        <v>171</v>
      </c>
    </row>
    <row r="67" spans="1:4" x14ac:dyDescent="0.65">
      <c r="A67" s="9">
        <f>基データ!A67</f>
        <v>42550</v>
      </c>
      <c r="B67" s="16">
        <f>摂取カロリーと体重増減関係!B65+摂取カロリーと体重増減関係!B66</f>
        <v>-804.06418219461739</v>
      </c>
      <c r="C67">
        <f>基データ!B67-基データ!B66</f>
        <v>-0.30000000000001137</v>
      </c>
      <c r="D67">
        <f>(基データ!K65-330)+(基データ!K66-330)</f>
        <v>312</v>
      </c>
    </row>
    <row r="68" spans="1:4" x14ac:dyDescent="0.65">
      <c r="A68" s="9">
        <f>基データ!A68</f>
        <v>42551</v>
      </c>
      <c r="B68" s="16">
        <f>摂取カロリーと体重増減関係!B66+摂取カロリーと体重増減関係!B67</f>
        <v>-950.0766045548653</v>
      </c>
      <c r="C68">
        <f>基データ!B68-基データ!B67</f>
        <v>0</v>
      </c>
      <c r="D68">
        <f>(基データ!K66-330)+(基データ!K67-330)</f>
        <v>536</v>
      </c>
    </row>
    <row r="69" spans="1:4" x14ac:dyDescent="0.65">
      <c r="A69" s="9">
        <f>基データ!A69</f>
        <v>42552</v>
      </c>
      <c r="B69" s="16">
        <f>摂取カロリーと体重増減関係!B67+摂取カロリーと体重増減関係!B68</f>
        <v>-717.08902691511321</v>
      </c>
      <c r="C69">
        <f>基データ!B69-基データ!B68</f>
        <v>0.20000000000000284</v>
      </c>
      <c r="D69">
        <f>(基データ!K67-330)+(基データ!K68-330)</f>
        <v>282</v>
      </c>
    </row>
    <row r="70" spans="1:4" x14ac:dyDescent="0.65">
      <c r="A70" s="9">
        <f>基データ!A70</f>
        <v>42553</v>
      </c>
      <c r="B70" s="16">
        <f>摂取カロリーと体重増減関係!B68+摂取カロリーと体重増減関係!B69</f>
        <v>678.9192546583854</v>
      </c>
      <c r="C70">
        <f>基データ!B70-基データ!B69</f>
        <v>0.70000000000000284</v>
      </c>
      <c r="D70">
        <f>(基データ!K68-330)+(基データ!K69-330)</f>
        <v>-5</v>
      </c>
    </row>
    <row r="71" spans="1:4" x14ac:dyDescent="0.65">
      <c r="A71" s="9">
        <f>基データ!A71</f>
        <v>42554</v>
      </c>
      <c r="B71" s="16">
        <f>摂取カロリーと体重増減関係!B69+摂取カロリーと体重増減関係!B70</f>
        <v>-104.04347826086996</v>
      </c>
      <c r="C71">
        <f>基データ!B71-基データ!B70</f>
        <v>-1.2999999999999972</v>
      </c>
      <c r="D71">
        <f>(基データ!K69-330)+(基データ!K70-330)</f>
        <v>391</v>
      </c>
    </row>
    <row r="72" spans="1:4" x14ac:dyDescent="0.65">
      <c r="A72" s="9">
        <f>基データ!A72</f>
        <v>42555</v>
      </c>
      <c r="B72" s="16">
        <f>摂取カロリーと体重増減関係!B70+摂取カロリーと体重増減関係!B71</f>
        <v>-1599.0683229813667</v>
      </c>
      <c r="C72">
        <f>基データ!B72-基データ!B71</f>
        <v>-0.29999999999999716</v>
      </c>
      <c r="D72">
        <f>(基データ!K70-330)+(基データ!K71-330)</f>
        <v>608</v>
      </c>
    </row>
    <row r="73" spans="1:4" x14ac:dyDescent="0.65">
      <c r="A73" s="9">
        <f>基データ!A73</f>
        <v>42556</v>
      </c>
      <c r="B73" s="16">
        <f>摂取カロリーと体重増減関係!B71+摂取カロリーと体重増減関係!B72</f>
        <v>-524.13457556935828</v>
      </c>
      <c r="C73">
        <f>基データ!B73-基データ!B72</f>
        <v>0.5</v>
      </c>
      <c r="D73">
        <f>(基データ!K71-330)+(基データ!K72-330)</f>
        <v>215</v>
      </c>
    </row>
    <row r="74" spans="1:4" x14ac:dyDescent="0.65">
      <c r="A74" s="9">
        <f>基データ!A74</f>
        <v>42557</v>
      </c>
      <c r="B74" s="16">
        <f>摂取カロリーと体重増減関係!B72+摂取カロリーと体重増減関係!B73</f>
        <v>48.873706004140331</v>
      </c>
      <c r="C74">
        <f>基データ!B74-基データ!B73</f>
        <v>0</v>
      </c>
      <c r="D74">
        <f>(基データ!K72-330)+(基データ!K73-330)</f>
        <v>-14</v>
      </c>
    </row>
    <row r="75" spans="1:4" x14ac:dyDescent="0.65">
      <c r="A75" s="9">
        <f>基データ!A75</f>
        <v>42558</v>
      </c>
      <c r="B75" s="16">
        <f>摂取カロリーと体重増減関係!B73+摂取カロリーと体重増減関係!B74</f>
        <v>-31.105590062112242</v>
      </c>
      <c r="C75">
        <f>基データ!B75-基データ!B74</f>
        <v>-0.30000000000001137</v>
      </c>
      <c r="D75">
        <f>(基データ!K73-330)+(基データ!K74-330)</f>
        <v>-39</v>
      </c>
    </row>
    <row r="76" spans="1:4" x14ac:dyDescent="0.65">
      <c r="A76" s="9">
        <f>基データ!A76</f>
        <v>42559</v>
      </c>
      <c r="B76" s="16">
        <f>摂取カロリーと体重増減関係!B74+摂取カロリーと体重増減関係!B75</f>
        <v>-319.11801242236015</v>
      </c>
      <c r="C76">
        <f>基データ!B76-基データ!B75</f>
        <v>0.30000000000001137</v>
      </c>
      <c r="D76">
        <f>(基データ!K74-330)+(基データ!K75-330)</f>
        <v>-36</v>
      </c>
    </row>
    <row r="77" spans="1:4" x14ac:dyDescent="0.65">
      <c r="A77" s="9">
        <f>基データ!A77</f>
        <v>42560</v>
      </c>
      <c r="B77" s="16">
        <f>摂取カロリーと体重増減関係!B75+摂取カロリーと体重増減関係!B76</f>
        <v>1158.8819875776398</v>
      </c>
      <c r="C77">
        <f>基データ!B77-基データ!B76</f>
        <v>0</v>
      </c>
      <c r="D77">
        <f>(基データ!K75-330)+(基データ!K76-330)</f>
        <v>81</v>
      </c>
    </row>
    <row r="78" spans="1:4" x14ac:dyDescent="0.65">
      <c r="A78" s="9">
        <f>基データ!A78</f>
        <v>42561</v>
      </c>
      <c r="B78" s="16">
        <f>摂取カロリーと体重増減関係!B76+摂取カロリーと体重増減関係!B77</f>
        <v>1153.8944099378878</v>
      </c>
      <c r="C78">
        <f>基データ!B78-基データ!B77</f>
        <v>-0.80000000000001137</v>
      </c>
      <c r="D78">
        <f>(基データ!K76-330)+(基データ!K77-330)</f>
        <v>219</v>
      </c>
    </row>
    <row r="79" spans="1:4" x14ac:dyDescent="0.65">
      <c r="A79" s="9">
        <f>基データ!A79</f>
        <v>42562</v>
      </c>
      <c r="B79" s="16">
        <f>摂取カロリーと体重増減関係!B77+摂取カロリーと体重増減関係!B78</f>
        <v>-103.13871635610758</v>
      </c>
      <c r="C79">
        <f>基データ!B79-基データ!B78</f>
        <v>0.5</v>
      </c>
      <c r="D79">
        <f>(基データ!K77-330)+(基データ!K78-330)</f>
        <v>59</v>
      </c>
    </row>
    <row r="80" spans="1:4" x14ac:dyDescent="0.65">
      <c r="A80" s="9">
        <f>基データ!A80</f>
        <v>42563</v>
      </c>
      <c r="B80" s="16">
        <f>摂取カロリーと体重増減関係!B78+摂取カロリーと体重増減関係!B79</f>
        <v>-11.15113871635549</v>
      </c>
      <c r="C80">
        <f>基データ!B80-基データ!B79</f>
        <v>0</v>
      </c>
      <c r="D80">
        <f>(基データ!K78-330)+(基データ!K79-330)</f>
        <v>156</v>
      </c>
    </row>
    <row r="81" spans="1:4" x14ac:dyDescent="0.65">
      <c r="A81" s="9">
        <f>基データ!A81</f>
        <v>42564</v>
      </c>
      <c r="B81" s="16">
        <f>摂取カロリーと体重増減関係!B79+摂取カロリーと体重増減関係!B80</f>
        <v>-607.13043478260806</v>
      </c>
      <c r="C81">
        <f>基データ!B81-基データ!B80</f>
        <v>0</v>
      </c>
      <c r="D81">
        <f>(基データ!K79-330)+(基データ!K80-330)</f>
        <v>482</v>
      </c>
    </row>
    <row r="82" spans="1:4" x14ac:dyDescent="0.65">
      <c r="A82" s="9">
        <f>基データ!A82</f>
        <v>42565</v>
      </c>
      <c r="B82" s="16">
        <f>摂取カロリーと体重増減関係!B80+摂取カロリーと体重増減関係!B81</f>
        <v>-814.13043478260806</v>
      </c>
      <c r="C82">
        <f>基データ!B82-基データ!B81</f>
        <v>-0.59999999999999432</v>
      </c>
      <c r="D82">
        <f>(基データ!K80-330)+(基データ!K81-330)</f>
        <v>567</v>
      </c>
    </row>
    <row r="83" spans="1:4" x14ac:dyDescent="0.65">
      <c r="A83" s="9">
        <f>基データ!A83</f>
        <v>42566</v>
      </c>
      <c r="B83" s="16">
        <f>摂取カロリーと体重増減関係!B81+摂取カロリーと体重増減関係!B82</f>
        <v>-531.1552795031057</v>
      </c>
      <c r="C83">
        <f>基データ!B83-基データ!B82</f>
        <v>0.5</v>
      </c>
      <c r="D83">
        <f>(基データ!K81-330)+(基データ!K82-330)</f>
        <v>340</v>
      </c>
    </row>
    <row r="84" spans="1:4" x14ac:dyDescent="0.65">
      <c r="A84" s="9">
        <f>基データ!A84</f>
        <v>42567</v>
      </c>
      <c r="B84" s="16">
        <f>摂取カロリーと体重増減関係!B82+摂取カロリーと体重増減関係!B83</f>
        <v>-112.15942028985592</v>
      </c>
      <c r="C84">
        <f>基データ!B84-基データ!B83</f>
        <v>0</v>
      </c>
      <c r="D84">
        <f>(基データ!K82-330)+(基データ!K83-330)</f>
        <v>146</v>
      </c>
    </row>
    <row r="85" spans="1:4" x14ac:dyDescent="0.65">
      <c r="A85" s="9">
        <f>基データ!A85</f>
        <v>42568</v>
      </c>
      <c r="B85" s="16">
        <f>摂取カロリーと体重増減関係!B83+摂取カロリーと体重増減関係!B84</f>
        <v>-493.13871635610849</v>
      </c>
      <c r="C85">
        <f>基データ!B85-基データ!B84</f>
        <v>-1.2999999999999972</v>
      </c>
      <c r="D85">
        <f>(基データ!K83-330)+(基データ!K84-330)</f>
        <v>225</v>
      </c>
    </row>
    <row r="86" spans="1:4" x14ac:dyDescent="0.65">
      <c r="A86" s="9">
        <f>基データ!A86</f>
        <v>42569</v>
      </c>
      <c r="B86" s="16">
        <f>摂取カロリーと体重増減関係!B84+摂取カロリーと体重増減関係!B85</f>
        <v>-1001.1925465838513</v>
      </c>
      <c r="C86">
        <f>基データ!B86-基データ!B85</f>
        <v>0.5</v>
      </c>
      <c r="D86">
        <f>(基データ!K84-330)+(基データ!K85-330)</f>
        <v>507</v>
      </c>
    </row>
    <row r="87" spans="1:4" x14ac:dyDescent="0.65">
      <c r="A87" s="9">
        <f>基データ!A87</f>
        <v>42570</v>
      </c>
      <c r="B87" s="16">
        <f>摂取カロリーと体重増減関係!B85+摂取カロリーと体重増減関係!B86</f>
        <v>-1393.2256728778466</v>
      </c>
      <c r="C87">
        <f>基データ!B87-基データ!B86</f>
        <v>9.9999999999994316E-2</v>
      </c>
      <c r="D87">
        <f>(基データ!K85-330)+(基データ!K86-330)</f>
        <v>959</v>
      </c>
    </row>
    <row r="88" spans="1:4" x14ac:dyDescent="0.65">
      <c r="A88" s="9">
        <f>基データ!A88</f>
        <v>42571</v>
      </c>
      <c r="B88" s="16">
        <f>摂取カロリーと体重増減関係!B86+摂取カロリーと体重増減関係!B87</f>
        <v>-602.20082815734986</v>
      </c>
      <c r="C88">
        <f>基データ!B88-基データ!B87</f>
        <v>-0.39999999999999147</v>
      </c>
      <c r="D88">
        <f>(基データ!K86-330)+(基データ!K87-330)</f>
        <v>444</v>
      </c>
    </row>
    <row r="89" spans="1:4" x14ac:dyDescent="0.65">
      <c r="A89" s="9">
        <f>基データ!A89</f>
        <v>42572</v>
      </c>
      <c r="B89" s="16">
        <f>摂取カロリーと体重増減関係!B87+摂取カロリーと体重増減関係!B88</f>
        <v>-292.21325051759868</v>
      </c>
      <c r="C89">
        <f>基データ!B89-基データ!B88</f>
        <v>0</v>
      </c>
      <c r="D89">
        <f>(基データ!K87-330)+(基データ!K88-330)</f>
        <v>-62</v>
      </c>
    </row>
    <row r="90" spans="1:4" x14ac:dyDescent="0.65">
      <c r="A90" s="9">
        <f>基データ!A90</f>
        <v>42573</v>
      </c>
      <c r="B90" s="16">
        <f>摂取カロリーと体重増減関係!B88+摂取カロリーと体重増減関係!B89</f>
        <v>-175.2298136645968</v>
      </c>
      <c r="C90">
        <f>基データ!B90-基データ!B89</f>
        <v>0.29999999999999716</v>
      </c>
      <c r="D90">
        <f>(基データ!K88-330)+(基データ!K89-330)</f>
        <v>221</v>
      </c>
    </row>
    <row r="91" spans="1:4" x14ac:dyDescent="0.65">
      <c r="A91" s="9">
        <f>基データ!A91</f>
        <v>42574</v>
      </c>
      <c r="B91" s="16">
        <f>摂取カロリーと体重増減関係!B89+摂取カロリーと体重増減関係!B90</f>
        <v>880.78260869565202</v>
      </c>
      <c r="C91">
        <f>基データ!B91-基データ!B90</f>
        <v>0.39999999999999147</v>
      </c>
      <c r="D91">
        <f>(基データ!K89-330)+(基データ!K90-330)</f>
        <v>23</v>
      </c>
    </row>
    <row r="92" spans="1:4" x14ac:dyDescent="0.65">
      <c r="A92" s="9">
        <f>基データ!A92</f>
        <v>42575</v>
      </c>
      <c r="B92" s="16">
        <f>摂取カロリーと体重増減関係!B90+摂取カロリーと体重増減関係!B91</f>
        <v>155.81159420289896</v>
      </c>
      <c r="C92">
        <f>基データ!B92-基データ!B91</f>
        <v>-0.69999999999998863</v>
      </c>
      <c r="D92">
        <f>(基データ!K90-330)+(基データ!K91-330)</f>
        <v>-259</v>
      </c>
    </row>
    <row r="93" spans="1:4" x14ac:dyDescent="0.65">
      <c r="A93" s="9">
        <f>基データ!A93</f>
        <v>42576</v>
      </c>
      <c r="B93" s="16">
        <f>摂取カロリーと体重増減関係!B91+摂取カロリーと体重増減関係!B92</f>
        <v>134.79917184265014</v>
      </c>
      <c r="C93">
        <f>基データ!B93-基データ!B92</f>
        <v>0.69999999999998863</v>
      </c>
      <c r="D93">
        <f>(基データ!K91-330)+(基データ!K92-330)</f>
        <v>-189</v>
      </c>
    </row>
    <row r="94" spans="1:4" x14ac:dyDescent="0.65">
      <c r="A94" s="9">
        <f>基データ!A94</f>
        <v>42577</v>
      </c>
      <c r="B94" s="16">
        <f>摂取カロリーと体重増減関係!B92+摂取カロリーと体重増減関係!B93</f>
        <v>309.79917184265014</v>
      </c>
      <c r="C94">
        <f>基データ!B94-基データ!B93</f>
        <v>-0.29999999999999716</v>
      </c>
      <c r="D94">
        <f>(基データ!K92-330)+(基データ!K93-330)</f>
        <v>-159</v>
      </c>
    </row>
    <row r="95" spans="1:4" x14ac:dyDescent="0.65">
      <c r="A95" s="9">
        <f>基データ!A95</f>
        <v>42578</v>
      </c>
      <c r="B95" s="16">
        <f>摂取カロリーと体重増減関係!B93+摂取カロリーと体重増減関係!B94</f>
        <v>-192.18426501035174</v>
      </c>
      <c r="C95">
        <f>基データ!B95-基データ!B94</f>
        <v>0</v>
      </c>
      <c r="D95">
        <f>(基データ!K93-330)+(基データ!K94-330)</f>
        <v>110</v>
      </c>
    </row>
    <row r="96" spans="1:4" x14ac:dyDescent="0.65">
      <c r="A96" s="9">
        <f>基データ!A96</f>
        <v>42579</v>
      </c>
      <c r="B96" s="16">
        <f>摂取カロリーと体重増減関係!B94+摂取カロリーと体重増減関係!B95</f>
        <v>-343.19668737060056</v>
      </c>
      <c r="C96">
        <f>基データ!B96-基データ!B95</f>
        <v>-9.9999999999994316E-2</v>
      </c>
      <c r="D96">
        <f>(基データ!K94-330)+(基データ!K95-330)</f>
        <v>329</v>
      </c>
    </row>
    <row r="97" spans="1:4" x14ac:dyDescent="0.65">
      <c r="A97" s="9">
        <f>基データ!A97</f>
        <v>42580</v>
      </c>
      <c r="B97" s="16">
        <f>摂取カロリーと体重増減関係!B95+摂取カロリーと体重増減関係!B96</f>
        <v>-413.20082815734986</v>
      </c>
      <c r="C97">
        <f>基データ!B97-基データ!B96</f>
        <v>-0.29999999999999716</v>
      </c>
      <c r="D97">
        <f>(基データ!K95-330)+(基データ!K96-330)</f>
        <v>-106</v>
      </c>
    </row>
    <row r="98" spans="1:4" x14ac:dyDescent="0.65">
      <c r="A98" s="9">
        <f>基データ!A98</f>
        <v>42581</v>
      </c>
      <c r="B98" s="16">
        <f>摂取カロリーと体重増減関係!B96+摂取カロリーと体重増減関係!B97</f>
        <v>551.78260869565202</v>
      </c>
      <c r="C98">
        <f>基データ!B98-基データ!B97</f>
        <v>0.69999999999998863</v>
      </c>
      <c r="D98">
        <f>(基データ!K96-330)+(基データ!K97-330)</f>
        <v>-274</v>
      </c>
    </row>
    <row r="99" spans="1:4" x14ac:dyDescent="0.65">
      <c r="A99" s="9">
        <f>基データ!A99</f>
        <v>42582</v>
      </c>
      <c r="B99" s="16">
        <f>摂取カロリーと体重増減関係!B97+摂取カロリーと体重増減関係!B98</f>
        <v>66.799171842650139</v>
      </c>
      <c r="C99">
        <f>基データ!B99-基データ!B98</f>
        <v>0.30000000000001137</v>
      </c>
      <c r="D99">
        <f>(基データ!K97-330)+(基データ!K98-330)</f>
        <v>346</v>
      </c>
    </row>
    <row r="100" spans="1:4" x14ac:dyDescent="0.65">
      <c r="A100" s="9">
        <f>基データ!A100</f>
        <v>42583</v>
      </c>
      <c r="B100" s="16">
        <f>摂取カロリーと体重増減関係!B98+摂取カロリーと体重増減関係!B99</f>
        <v>-1074.159420289855</v>
      </c>
      <c r="C100">
        <f>基データ!B100-基データ!B99</f>
        <v>-0.20000000000000284</v>
      </c>
      <c r="D100">
        <f>(基データ!K98-330)+(基データ!K99-330)</f>
        <v>297</v>
      </c>
    </row>
    <row r="101" spans="1:4" x14ac:dyDescent="0.65">
      <c r="A101" s="9">
        <f>基データ!A101</f>
        <v>42584</v>
      </c>
      <c r="B101" s="16">
        <f>摂取カロリーと体重増減関係!B99+摂取カロリーと体重増減関係!B100</f>
        <v>-1666.1552795031057</v>
      </c>
      <c r="C101">
        <f>基データ!B101-基データ!B100</f>
        <v>-0.40000000000000568</v>
      </c>
      <c r="D101">
        <f>(基データ!K99-330)+(基データ!K100-330)</f>
        <v>879</v>
      </c>
    </row>
    <row r="102" spans="1:4" x14ac:dyDescent="0.65">
      <c r="A102" s="9">
        <f>基データ!A102</f>
        <v>42585</v>
      </c>
      <c r="B102" s="16">
        <f>摂取カロリーと体重増減関係!B100+摂取カロリーと体重増減関係!B101</f>
        <v>-787.18012422360243</v>
      </c>
      <c r="C102">
        <f>基データ!B102-基データ!B101</f>
        <v>0.10000000000000853</v>
      </c>
      <c r="D102">
        <f>(基データ!K100-330)+(基データ!K101-330)</f>
        <v>736</v>
      </c>
    </row>
    <row r="103" spans="1:4" x14ac:dyDescent="0.65">
      <c r="A103" s="9">
        <f>基データ!A103</f>
        <v>42586</v>
      </c>
      <c r="B103" s="16">
        <f>摂取カロリーと体重増減関係!B101+摂取カロリーと体重増減関係!B102</f>
        <v>286.80745341614875</v>
      </c>
      <c r="C103">
        <f>基データ!B103-基データ!B102</f>
        <v>0</v>
      </c>
      <c r="D103">
        <f>(基データ!K101-330)+(基データ!K102-330)</f>
        <v>-395</v>
      </c>
    </row>
    <row r="104" spans="1:4" x14ac:dyDescent="0.65">
      <c r="A104" s="9">
        <f>基データ!A104</f>
        <v>42587</v>
      </c>
      <c r="B104" s="16">
        <f>摂取カロリーと体重増減関係!B102+摂取カロリーと体重増減関係!B103</f>
        <v>335.81159420289805</v>
      </c>
      <c r="C104">
        <f>基データ!B104-基データ!B103</f>
        <v>0</v>
      </c>
      <c r="D104">
        <f>(基データ!K102-330)+(基データ!K103-330)</f>
        <v>129</v>
      </c>
    </row>
    <row r="105" spans="1:4" x14ac:dyDescent="0.65">
      <c r="A105" s="9">
        <f>基データ!A105</f>
        <v>42588</v>
      </c>
      <c r="B105" s="16">
        <f>摂取カロリーと体重増減関係!B103+摂取カロリーと体重増減関係!B104</f>
        <v>1097.811594202898</v>
      </c>
      <c r="C105">
        <f>基データ!B105-基データ!B104</f>
        <v>0.29999999999999716</v>
      </c>
      <c r="D105">
        <f>(基データ!K103-330)+(基データ!K104-330)</f>
        <v>217</v>
      </c>
    </row>
    <row r="106" spans="1:4" x14ac:dyDescent="0.65">
      <c r="A106" s="9">
        <f>基データ!A106</f>
        <v>42589</v>
      </c>
      <c r="B106" s="16">
        <f>摂取カロリーと体重増減関係!B104+摂取カロリーと体重増減関係!B105</f>
        <v>1035.8240165631469</v>
      </c>
      <c r="C106">
        <f>基データ!B106-基データ!B105</f>
        <v>-0.5</v>
      </c>
      <c r="D106">
        <f>(基データ!K104-330)+(基データ!K105-330)</f>
        <v>-113</v>
      </c>
    </row>
    <row r="107" spans="1:4" x14ac:dyDescent="0.65">
      <c r="A107" s="9">
        <f>基データ!A107</f>
        <v>42590</v>
      </c>
      <c r="B107" s="16">
        <f>摂取カロリーと体重増減関係!B105+摂取カロリーと体重増減関係!B106</f>
        <v>-390.18426501035174</v>
      </c>
      <c r="C107">
        <f>基データ!B107-基データ!B106</f>
        <v>-0.29999999999999716</v>
      </c>
      <c r="D107">
        <f>(基データ!K105-330)+(基データ!K106-330)</f>
        <v>233</v>
      </c>
    </row>
    <row r="108" spans="1:4" x14ac:dyDescent="0.65">
      <c r="A108" s="9">
        <f>基データ!A108</f>
        <v>42591</v>
      </c>
      <c r="B108" s="16">
        <f>摂取カロリーと体重増減関係!B106+摂取カロリーと体重増減関係!B107</f>
        <v>-349.21739130434798</v>
      </c>
      <c r="C108">
        <f>基データ!B108-基データ!B107</f>
        <v>0.29999999999999716</v>
      </c>
      <c r="D108">
        <f>(基データ!K106-330)+(基データ!K107-330)</f>
        <v>369</v>
      </c>
    </row>
    <row r="109" spans="1:4" x14ac:dyDescent="0.65">
      <c r="A109" s="9">
        <f>基データ!A109</f>
        <v>42592</v>
      </c>
      <c r="B109" s="16">
        <f>摂取カロリーと体重増減関係!B107+摂取カロリーと体重増減関係!B108</f>
        <v>-251.21739130434798</v>
      </c>
      <c r="C109">
        <f>基データ!B109-基データ!B108</f>
        <v>-0.60000000000000853</v>
      </c>
      <c r="D109">
        <f>(基データ!K107-330)+(基データ!K108-330)</f>
        <v>345</v>
      </c>
    </row>
    <row r="110" spans="1:4" x14ac:dyDescent="0.65">
      <c r="A110" s="9">
        <f>基データ!A110</f>
        <v>42593</v>
      </c>
      <c r="B110" s="16">
        <f>摂取カロリーと体重増減関係!B108+摂取カロリーと体重増減関係!B109</f>
        <v>-1391.2298136645959</v>
      </c>
      <c r="C110">
        <f>基データ!B110-基データ!B109</f>
        <v>0</v>
      </c>
      <c r="D110">
        <f>(基データ!K108-330)+(基データ!K109-330)</f>
        <v>745</v>
      </c>
    </row>
    <row r="111" spans="1:4" x14ac:dyDescent="0.65">
      <c r="A111" s="9">
        <f>基データ!A111</f>
        <v>42594</v>
      </c>
      <c r="B111" s="16">
        <f>摂取カロリーと体重増減関係!B109+摂取カロリーと体重増減関係!B110</f>
        <v>-107.25465838509263</v>
      </c>
      <c r="C111">
        <f>基データ!B111-基データ!B110</f>
        <v>0.60000000000000853</v>
      </c>
      <c r="D111">
        <f>(基データ!K109-330)+(基データ!K110-330)</f>
        <v>272</v>
      </c>
    </row>
    <row r="112" spans="1:4" x14ac:dyDescent="0.65">
      <c r="A112" s="9">
        <f>基データ!A112</f>
        <v>42595</v>
      </c>
      <c r="B112" s="16">
        <f>摂取カロリーと体重増減関係!B110+摂取カロリーと体重増減関係!B111</f>
        <v>406.77018633540411</v>
      </c>
      <c r="C112">
        <f>基データ!B112-基データ!B111</f>
        <v>-0.5</v>
      </c>
      <c r="D112">
        <f>(基データ!K110-330)+(基データ!K111-330)</f>
        <v>-120</v>
      </c>
    </row>
    <row r="113" spans="1:4" x14ac:dyDescent="0.65">
      <c r="A113" s="9">
        <f>基データ!A113</f>
        <v>42596</v>
      </c>
      <c r="B113" s="16">
        <f>摂取カロリーと体重増減関係!B111+摂取カロリーと体重増減関係!B112</f>
        <v>-543.22567287784659</v>
      </c>
      <c r="C113">
        <f>基データ!B113-基データ!B112</f>
        <v>-0.40000000000000568</v>
      </c>
      <c r="D113">
        <f>(基データ!K111-330)+(基データ!K112-330)</f>
        <v>505</v>
      </c>
    </row>
    <row r="114" spans="1:4" x14ac:dyDescent="0.65">
      <c r="A114" s="9">
        <f>基データ!A114</f>
        <v>42597</v>
      </c>
      <c r="B114" s="16">
        <f>摂取カロリーと体重増減関係!B112+摂取カロリーと体重増減関係!B113</f>
        <v>-144.26293995859214</v>
      </c>
      <c r="C114">
        <f>基データ!B114-基データ!B113</f>
        <v>0</v>
      </c>
      <c r="D114">
        <f>(基データ!K112-330)+(基データ!K113-330)</f>
        <v>246</v>
      </c>
    </row>
    <row r="115" spans="1:4" x14ac:dyDescent="0.65">
      <c r="A115" s="9">
        <f>基データ!A115</f>
        <v>42598</v>
      </c>
      <c r="B115" s="16">
        <f>摂取カロリーと体重増減関係!B113+摂取カロリーと体重増減関係!B114</f>
        <v>-644.27950310559027</v>
      </c>
      <c r="C115">
        <f>基データ!B115-基データ!B114</f>
        <v>0.79999999999999716</v>
      </c>
      <c r="D115">
        <f>(基データ!K113-330)+(基データ!K114-330)</f>
        <v>289</v>
      </c>
    </row>
    <row r="116" spans="1:4" x14ac:dyDescent="0.65">
      <c r="A116" s="9">
        <f>基データ!A116</f>
        <v>42599</v>
      </c>
      <c r="B116" s="16">
        <f>摂取カロリーと体重増減関係!B114+摂取カロリーと体重増減関係!B115</f>
        <v>-1244.246376811594</v>
      </c>
      <c r="C116">
        <f>基データ!B116-基データ!B115</f>
        <v>0.10000000000000853</v>
      </c>
      <c r="D116">
        <f>(基データ!K114-330)+(基データ!K115-330)</f>
        <v>587</v>
      </c>
    </row>
    <row r="117" spans="1:4" x14ac:dyDescent="0.65">
      <c r="A117" s="9">
        <f>基データ!A117</f>
        <v>42600</v>
      </c>
      <c r="B117" s="16">
        <f>摂取カロリーと体重増減関係!B115+摂取カロリーと体重増減関係!B116</f>
        <v>1991.7908902691515</v>
      </c>
      <c r="C117">
        <f>基データ!B117-基データ!B116</f>
        <v>-0.10000000000000853</v>
      </c>
      <c r="D117">
        <f>(基データ!K115-330)+(基データ!K116-330)</f>
        <v>155</v>
      </c>
    </row>
    <row r="118" spans="1:4" x14ac:dyDescent="0.65">
      <c r="A118" s="9">
        <f>基データ!A118</f>
        <v>42601</v>
      </c>
      <c r="B118" s="16">
        <f>摂取カロリーと体重増減関係!B116+摂取カロリーと体重増減関係!B117</f>
        <v>2258.7908902691515</v>
      </c>
      <c r="C118">
        <f>基データ!B118-基データ!B117</f>
        <v>0.30000000000001137</v>
      </c>
      <c r="D118">
        <f>(基データ!K116-330)+(基データ!K117-330)</f>
        <v>-214</v>
      </c>
    </row>
    <row r="119" spans="1:4" x14ac:dyDescent="0.65">
      <c r="A119" s="9">
        <f>基データ!A119</f>
        <v>42602</v>
      </c>
      <c r="B119" s="16">
        <f>摂取カロリーと体重増減関係!B117+摂取カロリーと体重増減関係!B118</f>
        <v>-612.20082815734986</v>
      </c>
      <c r="C119">
        <f>基データ!B119-基データ!B118</f>
        <v>-0.70000000000000284</v>
      </c>
      <c r="D119">
        <f>(基データ!K117-330)+(基データ!K118-330)</f>
        <v>325</v>
      </c>
    </row>
    <row r="120" spans="1:4" x14ac:dyDescent="0.65">
      <c r="A120" s="9">
        <f>基データ!A120</f>
        <v>42603</v>
      </c>
      <c r="B120" s="16">
        <f>摂取カロリーと体重増減関係!B118+摂取カロリーと体重増減関係!B119</f>
        <v>-1189.217391304348</v>
      </c>
      <c r="C120">
        <f>基データ!B120-基データ!B119</f>
        <v>-0.60000000000000853</v>
      </c>
      <c r="D120">
        <f>(基データ!K118-330)+(基データ!K119-330)</f>
        <v>906</v>
      </c>
    </row>
    <row r="121" spans="1:4" x14ac:dyDescent="0.65">
      <c r="A121" s="9">
        <f>基データ!A121</f>
        <v>42604</v>
      </c>
      <c r="B121" s="16">
        <f>摂取カロリーと体重増減関係!B119+摂取カロリーと体重増減関係!B120</f>
        <v>-1225.2712215320912</v>
      </c>
      <c r="C121">
        <f>基データ!B121-基データ!B120</f>
        <v>0.80000000000001137</v>
      </c>
      <c r="D121">
        <f>(基データ!K119-330)+(基データ!K120-330)</f>
        <v>446</v>
      </c>
    </row>
    <row r="122" spans="1:4" x14ac:dyDescent="0.65">
      <c r="A122" s="9">
        <f>基データ!A122</f>
        <v>42605</v>
      </c>
      <c r="B122" s="16">
        <f>摂取カロリーと体重増減関係!B120+摂取カロリーと体重増減関係!B121</f>
        <v>-570.2629399585926</v>
      </c>
      <c r="C122">
        <f>基データ!B122-基データ!B121</f>
        <v>-0.80000000000001137</v>
      </c>
      <c r="D122">
        <f>(基データ!K120-330)+(基データ!K121-330)</f>
        <v>49</v>
      </c>
    </row>
    <row r="123" spans="1:4" x14ac:dyDescent="0.65">
      <c r="A123" s="9">
        <f>基データ!A123</f>
        <v>42606</v>
      </c>
      <c r="B123" s="16">
        <f>摂取カロリーと体重増減関係!B121+摂取カロリーと体重増減関係!B122</f>
        <v>-349.2629399585926</v>
      </c>
      <c r="C123">
        <f>基データ!B123-基データ!B122</f>
        <v>0.90000000000000568</v>
      </c>
      <c r="D123">
        <f>(基データ!K121-330)+(基データ!K122-330)</f>
        <v>-127</v>
      </c>
    </row>
    <row r="124" spans="1:4" x14ac:dyDescent="0.65">
      <c r="A124" s="9">
        <f>基データ!A124</f>
        <v>42607</v>
      </c>
      <c r="B124" s="16">
        <f>摂取カロリーと体重増減関係!B122+摂取カロリーと体重増減関係!B123</f>
        <v>165.74120082815671</v>
      </c>
      <c r="C124">
        <f>基データ!B124-基データ!B123</f>
        <v>0</v>
      </c>
      <c r="D124">
        <f>(基データ!K122-330)+(基データ!K123-330)</f>
        <v>-224</v>
      </c>
    </row>
    <row r="125" spans="1:4" x14ac:dyDescent="0.65">
      <c r="A125" s="9">
        <f>基データ!A125</f>
        <v>42608</v>
      </c>
      <c r="B125" s="16">
        <f>摂取カロリーと体重増減関係!B123+摂取カロリーと体重増減関係!B124</f>
        <v>742.7784679089018</v>
      </c>
      <c r="C125">
        <f>基データ!B125-基データ!B124</f>
        <v>-0.59999999999999432</v>
      </c>
      <c r="D125">
        <f>(基データ!K123-330)+(基データ!K124-330)</f>
        <v>-256</v>
      </c>
    </row>
    <row r="126" spans="1:4" x14ac:dyDescent="0.65">
      <c r="A126" s="9">
        <f>基データ!A126</f>
        <v>42609</v>
      </c>
      <c r="B126" s="16">
        <f>摂取カロリーと体重増減関係!B124+摂取カロリーと体重増減関係!B125</f>
        <v>434.75362318840507</v>
      </c>
      <c r="C126">
        <f>基データ!B126-基データ!B125</f>
        <v>0.29999999999999716</v>
      </c>
      <c r="D126">
        <f>(基データ!K124-330)+(基データ!K125-330)</f>
        <v>-278</v>
      </c>
    </row>
    <row r="127" spans="1:4" x14ac:dyDescent="0.65">
      <c r="A127" s="9">
        <f>基データ!A127</f>
        <v>42610</v>
      </c>
      <c r="B127" s="16">
        <f>摂取カロリーと体重増減関係!B125+摂取カロリーと体重増減関係!B126</f>
        <v>-372.25879917184284</v>
      </c>
      <c r="C127">
        <f>基データ!B127-基データ!B126</f>
        <v>-0.60000000000000853</v>
      </c>
      <c r="D127">
        <f>(基データ!K125-330)+(基データ!K126-330)</f>
        <v>136</v>
      </c>
    </row>
    <row r="128" spans="1:4" x14ac:dyDescent="0.65">
      <c r="A128" s="9">
        <f>基データ!A128</f>
        <v>42611</v>
      </c>
      <c r="B128" s="16">
        <f>摂取カロリーと体重増減関係!B126+摂取カロリーと体重増減関係!B127</f>
        <v>-893.2712215320912</v>
      </c>
      <c r="C128">
        <f>基データ!B128-基データ!B127</f>
        <v>0</v>
      </c>
      <c r="D128">
        <f>(基データ!K126-330)+(基データ!K127-330)</f>
        <v>373</v>
      </c>
    </row>
    <row r="129" spans="1:4" x14ac:dyDescent="0.65">
      <c r="A129" s="9">
        <f>基データ!A129</f>
        <v>42612</v>
      </c>
      <c r="B129" s="16">
        <f>摂取カロリーと体重増減関係!B127+摂取カロリーと体重増減関係!B128</f>
        <v>-364.29606625258839</v>
      </c>
      <c r="C129">
        <f>基データ!B129-基データ!B128</f>
        <v>0</v>
      </c>
      <c r="D129">
        <f>(基データ!K127-330)+(基データ!K128-330)</f>
        <v>-7</v>
      </c>
    </row>
    <row r="130" spans="1:4" x14ac:dyDescent="0.65">
      <c r="A130" s="9">
        <f>基データ!A130</f>
        <v>42613</v>
      </c>
      <c r="B130" s="16">
        <f>摂取カロリーと体重増減関係!B128+摂取カロリーと体重増減関係!B129</f>
        <v>401.70393374741161</v>
      </c>
      <c r="C130">
        <f>基データ!B130-基データ!B129</f>
        <v>0</v>
      </c>
      <c r="D130">
        <f>(基データ!K128-330)+(基データ!K129-330)</f>
        <v>-112</v>
      </c>
    </row>
    <row r="131" spans="1:4" x14ac:dyDescent="0.65">
      <c r="A131" s="9">
        <f>基データ!A131</f>
        <v>42614</v>
      </c>
      <c r="B131" s="16">
        <f>摂取カロリーと体重増減関係!B129+摂取カロリーと体重増減関係!B130</f>
        <v>70.703933747411611</v>
      </c>
      <c r="C131">
        <f>基データ!B131-基データ!B130</f>
        <v>0</v>
      </c>
      <c r="D131">
        <f>(基データ!K129-330)+(基データ!K130-330)</f>
        <v>-65</v>
      </c>
    </row>
    <row r="132" spans="1:4" x14ac:dyDescent="0.65">
      <c r="A132" s="9">
        <f>基データ!A132</f>
        <v>42615</v>
      </c>
      <c r="B132" s="16">
        <f>摂取カロリーと体重増減関係!B130+摂取カロリーと体重増減関係!B131</f>
        <v>154.70393374741161</v>
      </c>
      <c r="C132">
        <f>基データ!B132-基データ!B131</f>
        <v>0</v>
      </c>
      <c r="D132">
        <f>(基データ!K130-330)+(基データ!K131-330)</f>
        <v>-185</v>
      </c>
    </row>
    <row r="133" spans="1:4" x14ac:dyDescent="0.65">
      <c r="A133" s="9">
        <f>基データ!A133</f>
        <v>42616</v>
      </c>
      <c r="B133" s="16">
        <f>摂取カロリーと体重増減関係!B131+摂取カロリーと体重増減関係!B132</f>
        <v>631.70393374741161</v>
      </c>
      <c r="C133">
        <f>基データ!B133-基データ!B132</f>
        <v>0</v>
      </c>
      <c r="D133">
        <f>(基データ!K131-330)+(基データ!K132-330)</f>
        <v>-250</v>
      </c>
    </row>
    <row r="134" spans="1:4" x14ac:dyDescent="0.65">
      <c r="A134" s="9">
        <f>基データ!A134</f>
        <v>42617</v>
      </c>
      <c r="B134" s="16">
        <f>摂取カロリーと体重増減関係!B132+摂取カロリーと体重増減関係!B133</f>
        <v>-254.29606625258839</v>
      </c>
      <c r="C134">
        <f>基データ!B134-基データ!B133</f>
        <v>-0.39999999999999147</v>
      </c>
      <c r="D134">
        <f>(基データ!K132-330)+(基データ!K133-330)</f>
        <v>252</v>
      </c>
    </row>
    <row r="135" spans="1:4" x14ac:dyDescent="0.65">
      <c r="A135" s="9">
        <f>基データ!A135</f>
        <v>42618</v>
      </c>
      <c r="B135" s="16">
        <f>摂取カロリーと体重増減関係!B133+摂取カロリーと体重増減関係!B134</f>
        <v>-396.31262939958606</v>
      </c>
      <c r="C135">
        <f>基データ!B135-基データ!B134</f>
        <v>0</v>
      </c>
      <c r="D135">
        <f>(基データ!K133-330)+(基データ!K134-330)</f>
        <v>426</v>
      </c>
    </row>
    <row r="136" spans="1:4" x14ac:dyDescent="0.65">
      <c r="A136" s="9">
        <f>基データ!A136</f>
        <v>42619</v>
      </c>
      <c r="B136" s="16">
        <f>摂取カロリーと体重増減関係!B134+摂取カロリーと体重増減関係!B135</f>
        <v>-124.32919254658373</v>
      </c>
      <c r="C136">
        <f>基データ!B136-基データ!B135</f>
        <v>0.29999999999999716</v>
      </c>
      <c r="D136">
        <f>(基データ!K134-330)+(基データ!K135-330)</f>
        <v>110</v>
      </c>
    </row>
    <row r="137" spans="1:4" x14ac:dyDescent="0.65">
      <c r="A137" s="9">
        <f>基データ!A137</f>
        <v>42620</v>
      </c>
      <c r="B137" s="16">
        <f>摂取カロリーと体重増減関係!B135+摂取カロリーと体重増減関係!B136</f>
        <v>586.68322981366509</v>
      </c>
      <c r="C137">
        <f>基データ!B137-基データ!B136</f>
        <v>0.70000000000000284</v>
      </c>
      <c r="D137">
        <f>(基データ!K135-330)+(基データ!K136-330)</f>
        <v>-19</v>
      </c>
    </row>
    <row r="138" spans="1:4" x14ac:dyDescent="0.65">
      <c r="A138" s="9">
        <f>基データ!A138</f>
        <v>42621</v>
      </c>
      <c r="B138" s="16">
        <f>摂取カロリーと体重増減関係!B136+摂取カロリーと体重増減関係!B137</f>
        <v>518.72463768115995</v>
      </c>
      <c r="C138">
        <f>基データ!B138-基データ!B137</f>
        <v>0</v>
      </c>
      <c r="D138">
        <f>(基データ!K136-330)+(基データ!K137-330)</f>
        <v>-54</v>
      </c>
    </row>
    <row r="139" spans="1:4" x14ac:dyDescent="0.65">
      <c r="A139" s="9">
        <f>基データ!A139</f>
        <v>42622</v>
      </c>
      <c r="B139" s="16">
        <f>摂取カロリーと体重増減関係!B137+摂取カロリーと体重増減関係!B138</f>
        <v>-671.24637681159402</v>
      </c>
      <c r="C139">
        <f>基データ!B139-基データ!B138</f>
        <v>-0.60000000000000853</v>
      </c>
      <c r="D139">
        <f>(基データ!K137-330)+(基データ!K138-330)</f>
        <v>-1</v>
      </c>
    </row>
    <row r="140" spans="1:4" x14ac:dyDescent="0.65">
      <c r="A140" s="9">
        <f>基データ!A140</f>
        <v>42623</v>
      </c>
      <c r="B140" s="16">
        <f>摂取カロリーと体重増減関係!B138+摂取カロリーと体重増減関係!B139</f>
        <v>-834.2712215320912</v>
      </c>
      <c r="C140">
        <f>基データ!B140-基データ!B139</f>
        <v>0</v>
      </c>
      <c r="D140">
        <f>(基データ!K138-330)+(基データ!K139-330)</f>
        <v>58</v>
      </c>
    </row>
    <row r="141" spans="1:4" x14ac:dyDescent="0.65">
      <c r="A141" s="9">
        <f>基データ!A141</f>
        <v>42624</v>
      </c>
      <c r="B141" s="16">
        <f>摂取カロリーと体重増減関係!B139+摂取カロリーと体重増減関係!B140</f>
        <v>-864.29606625258839</v>
      </c>
      <c r="C141">
        <f>基データ!B141-基データ!B140</f>
        <v>0</v>
      </c>
      <c r="D141">
        <f>(基データ!K139-330)+(基データ!K140-330)</f>
        <v>427</v>
      </c>
    </row>
    <row r="142" spans="1:4" x14ac:dyDescent="0.65">
      <c r="A142" s="9">
        <f>基データ!A142</f>
        <v>42625</v>
      </c>
      <c r="B142" s="16">
        <f>摂取カロリーと体重増減関係!B140+摂取カロリーと体重増減関係!B141</f>
        <v>-649.29606625258839</v>
      </c>
      <c r="C142">
        <f>基データ!B142-基データ!B141</f>
        <v>0</v>
      </c>
      <c r="D142">
        <f>(基データ!K140-330)+(基データ!K141-330)</f>
        <v>219</v>
      </c>
    </row>
    <row r="143" spans="1:4" x14ac:dyDescent="0.65">
      <c r="A143" s="9">
        <f>基データ!A143</f>
        <v>42626</v>
      </c>
      <c r="B143" s="16">
        <f>摂取カロリーと体重増減関係!B141+摂取カロリーと体重増減関係!B142</f>
        <v>-583.29606625258839</v>
      </c>
      <c r="C143">
        <f>基データ!B143-基データ!B142</f>
        <v>-0.59999999999999432</v>
      </c>
      <c r="D143">
        <f>(基データ!K141-330)+(基データ!K142-330)</f>
        <v>-192</v>
      </c>
    </row>
    <row r="144" spans="1:4" x14ac:dyDescent="0.65">
      <c r="A144" s="9">
        <f>基データ!A144</f>
        <v>42627</v>
      </c>
      <c r="B144" s="16">
        <f>摂取カロリーと体重増減関係!B142+摂取カロリーと体重増減関係!B143</f>
        <v>-915.32091097308557</v>
      </c>
      <c r="C144">
        <f>基データ!B144-基データ!B143</f>
        <v>0</v>
      </c>
      <c r="D144">
        <f>(基データ!K142-330)+(基データ!K143-330)</f>
        <v>-145</v>
      </c>
    </row>
    <row r="145" spans="1:4" x14ac:dyDescent="0.65">
      <c r="A145" s="9">
        <f>基データ!A145</f>
        <v>42628</v>
      </c>
      <c r="B145" s="16">
        <f>摂取カロリーと体重増減関係!B143+摂取カロリーと体重増減関係!B144</f>
        <v>-565.34575569358276</v>
      </c>
      <c r="C145">
        <f>基データ!B145-基データ!B144</f>
        <v>0</v>
      </c>
      <c r="D145">
        <f>(基データ!K143-330)+(基データ!K144-330)</f>
        <v>-113</v>
      </c>
    </row>
    <row r="146" spans="1:4" x14ac:dyDescent="0.65">
      <c r="A146" s="9">
        <f>基データ!A146</f>
        <v>42629</v>
      </c>
      <c r="B146" s="16">
        <f>摂取カロリーと体重増減関係!B144+摂取カロリーと体重増減関係!B145</f>
        <v>563.65424430641724</v>
      </c>
      <c r="C146">
        <f>基データ!B146-基データ!B145</f>
        <v>0</v>
      </c>
      <c r="D146">
        <f>(基データ!K144-330)+(基データ!K145-330)</f>
        <v>-90</v>
      </c>
    </row>
    <row r="147" spans="1:4" x14ac:dyDescent="0.65">
      <c r="A147" s="9">
        <f>基データ!A147</f>
        <v>42630</v>
      </c>
      <c r="B147" s="16">
        <f>摂取カロリーと体重増減関係!B145+摂取カロリーと体重増減関係!B146</f>
        <v>360.65424430641724</v>
      </c>
      <c r="C147">
        <f>基データ!B147-基データ!B146</f>
        <v>0</v>
      </c>
      <c r="D147">
        <f>(基データ!K145-330)+(基データ!K146-330)</f>
        <v>-54</v>
      </c>
    </row>
    <row r="148" spans="1:4" x14ac:dyDescent="0.65">
      <c r="A148" s="9">
        <f>基データ!A148</f>
        <v>42631</v>
      </c>
      <c r="B148" s="16">
        <f>摂取カロリーと体重増減関係!B146+摂取カロリーと体重増減関係!B147</f>
        <v>381.65424430641724</v>
      </c>
      <c r="C148">
        <f>基データ!B148-基データ!B147</f>
        <v>-0.79999999999999716</v>
      </c>
      <c r="D148">
        <f>(基データ!K146-330)+(基データ!K147-330)</f>
        <v>-79</v>
      </c>
    </row>
    <row r="149" spans="1:4" x14ac:dyDescent="0.65">
      <c r="A149" s="9">
        <f>基データ!A149</f>
        <v>42632</v>
      </c>
      <c r="B149" s="16">
        <f>摂取カロリーと体重増減関係!B147+摂取カロリーと体重増減関係!B148</f>
        <v>349.6211180124219</v>
      </c>
      <c r="C149">
        <f>基データ!B149-基データ!B148</f>
        <v>-0.5</v>
      </c>
      <c r="D149">
        <f>(基データ!K147-330)+(基データ!K148-330)</f>
        <v>25</v>
      </c>
    </row>
    <row r="150" spans="1:4" x14ac:dyDescent="0.65">
      <c r="A150" s="9">
        <f>基データ!A150</f>
        <v>42633</v>
      </c>
      <c r="B150" s="16">
        <f>摂取カロリーと体重増減関係!B148+摂取カロリーと体重増減関係!B149</f>
        <v>266.56728778467914</v>
      </c>
      <c r="C150">
        <f>基データ!B150-基データ!B149</f>
        <v>0.79999999999999716</v>
      </c>
      <c r="D150">
        <f>(基データ!K148-330)+(基データ!K149-330)</f>
        <v>-92</v>
      </c>
    </row>
    <row r="151" spans="1:4" x14ac:dyDescent="0.65">
      <c r="A151" s="9">
        <f>基データ!A151</f>
        <v>42634</v>
      </c>
      <c r="B151" s="16">
        <f>摂取カロリーと体重増減関係!B149+摂取カロリーと体重増減関係!B150</f>
        <v>812.57971014492796</v>
      </c>
      <c r="C151">
        <f>基データ!B151-基データ!B150</f>
        <v>1.2000000000000028</v>
      </c>
      <c r="D151">
        <f>(基データ!K149-330)+(基データ!K150-330)</f>
        <v>-226</v>
      </c>
    </row>
    <row r="152" spans="1:4" x14ac:dyDescent="0.65">
      <c r="A152" s="9">
        <f>基データ!A152</f>
        <v>42635</v>
      </c>
      <c r="B152" s="16">
        <f>摂取カロリーと体重増減関係!B150+摂取カロリーと体重増減関係!B151</f>
        <v>351.66252587991767</v>
      </c>
      <c r="C152">
        <f>基データ!B152-基データ!B151</f>
        <v>9.9999999999994316E-2</v>
      </c>
      <c r="D152">
        <f>(基データ!K150-330)+(基データ!K151-330)</f>
        <v>-123</v>
      </c>
    </row>
    <row r="153" spans="1:4" x14ac:dyDescent="0.65">
      <c r="A153" s="9">
        <f>基データ!A153</f>
        <v>42636</v>
      </c>
      <c r="B153" s="16">
        <f>摂取カロリーと体重増減関係!B151+摂取カロリーと体重増減関係!B152</f>
        <v>-396.28364389233957</v>
      </c>
      <c r="C153">
        <f>基データ!B153-基データ!B152</f>
        <v>-1.8999999999999915</v>
      </c>
      <c r="D153">
        <f>(基データ!K151-330)+(基データ!K152-330)</f>
        <v>166</v>
      </c>
    </row>
    <row r="154" spans="1:4" x14ac:dyDescent="0.65">
      <c r="A154" s="9">
        <f>基データ!A154</f>
        <v>42637</v>
      </c>
      <c r="B154" s="16">
        <f>摂取カロリーと体重増減関係!B152+摂取カロリーと体重増減関係!B153</f>
        <v>-26.35817805383067</v>
      </c>
      <c r="C154">
        <f>基データ!B154-基データ!B153</f>
        <v>1.0999999999999943</v>
      </c>
      <c r="D154">
        <f>(基データ!K152-330)+(基データ!K153-330)</f>
        <v>228</v>
      </c>
    </row>
    <row r="155" spans="1:4" x14ac:dyDescent="0.65">
      <c r="A155" s="9">
        <f>基データ!A155</f>
        <v>42638</v>
      </c>
      <c r="B155" s="16">
        <f>摂取カロリーと体重増減関係!B153+摂取カロリーと体重増減関係!B154</f>
        <v>1251.6086956521731</v>
      </c>
      <c r="C155">
        <f>基データ!B155-基データ!B154</f>
        <v>-0.59999999999999432</v>
      </c>
      <c r="D155">
        <f>(基データ!K153-330)+(基データ!K154-330)</f>
        <v>-62</v>
      </c>
    </row>
    <row r="156" spans="1:4" x14ac:dyDescent="0.65">
      <c r="A156" s="9">
        <f>基データ!A156</f>
        <v>42639</v>
      </c>
      <c r="B156" s="16">
        <f>摂取カロリーと体重増減関係!B154+摂取カロリーと体重増減関係!B155</f>
        <v>751.62939958592051</v>
      </c>
      <c r="C156">
        <f>基データ!B156-基データ!B155</f>
        <v>0.5</v>
      </c>
      <c r="D156">
        <f>(基データ!K154-330)+(基データ!K155-330)</f>
        <v>75</v>
      </c>
    </row>
    <row r="157" spans="1:4" x14ac:dyDescent="0.65">
      <c r="A157" s="9">
        <f>基データ!A157</f>
        <v>42640</v>
      </c>
      <c r="B157" s="16">
        <f>摂取カロリーと体重増減関係!B155+摂取カロリーと体重増減関係!B156</f>
        <v>320.62525879917121</v>
      </c>
      <c r="C157">
        <f>基データ!B157-基データ!B156</f>
        <v>0</v>
      </c>
      <c r="D157">
        <f>(基データ!K155-330)+(基データ!K156-330)</f>
        <v>-37</v>
      </c>
    </row>
    <row r="158" spans="1:4" x14ac:dyDescent="0.65">
      <c r="A158" s="9">
        <f>基データ!A158</f>
        <v>42641</v>
      </c>
      <c r="B158" s="16">
        <f>摂取カロリーと体重増減関係!B156+摂取カロリーと体重増減関係!B157</f>
        <v>367.64596273291863</v>
      </c>
      <c r="C158">
        <f>基データ!B158-基データ!B157</f>
        <v>0.39999999999999147</v>
      </c>
      <c r="D158">
        <f>(基データ!K156-330)+(基データ!K157-330)</f>
        <v>-266</v>
      </c>
    </row>
    <row r="159" spans="1:4" x14ac:dyDescent="0.65">
      <c r="A159" s="9">
        <f>基データ!A159</f>
        <v>42642</v>
      </c>
      <c r="B159" s="16">
        <f>摂取カロリーと体重増減関係!B157+摂取カロリーと体重増減関係!B158</f>
        <v>-106.33747412008324</v>
      </c>
      <c r="C159">
        <f>基データ!B159-基データ!B158</f>
        <v>-0.29999999999999716</v>
      </c>
      <c r="D159">
        <f>(基データ!K157-330)+(基データ!K158-330)</f>
        <v>-154</v>
      </c>
    </row>
    <row r="160" spans="1:4" x14ac:dyDescent="0.65">
      <c r="A160" s="9">
        <f>基データ!A160</f>
        <v>42643</v>
      </c>
      <c r="B160" s="16">
        <f>摂取カロリーと体重増減関係!B158+摂取カロリーと体重増減関係!B159</f>
        <v>305.66666666666606</v>
      </c>
      <c r="C160">
        <f>基データ!B160-基データ!B159</f>
        <v>0.59999999999999432</v>
      </c>
      <c r="D160">
        <f>(基データ!K158-330)+(基データ!K159-330)</f>
        <v>-7</v>
      </c>
    </row>
    <row r="161" spans="1:4" x14ac:dyDescent="0.65">
      <c r="A161" s="9">
        <f>基データ!A161</f>
        <v>42644</v>
      </c>
      <c r="B161" s="16">
        <f>摂取カロリーと体重増減関係!B159+摂取カロリーと体重増減関係!B160</f>
        <v>1723.6790890269144</v>
      </c>
      <c r="C161">
        <f>基データ!B161-基データ!B160</f>
        <v>-0.59999999999999432</v>
      </c>
      <c r="D161">
        <f>(基データ!K159-330)+(基データ!K160-330)</f>
        <v>79</v>
      </c>
    </row>
    <row r="162" spans="1:4" x14ac:dyDescent="0.65">
      <c r="A162" s="9">
        <f>基データ!A162</f>
        <v>42645</v>
      </c>
      <c r="B162" s="16">
        <f>摂取カロリーと体重増減関係!B160+摂取カロリーと体重増減関係!B161</f>
        <v>556.67908902691443</v>
      </c>
      <c r="C162">
        <f>基データ!B162-基データ!B161</f>
        <v>0.29999999999999716</v>
      </c>
      <c r="D162">
        <f>(基データ!K160-330)+(基データ!K161-330)</f>
        <v>427</v>
      </c>
    </row>
    <row r="163" spans="1:4" x14ac:dyDescent="0.65">
      <c r="A163" s="9">
        <f>基データ!A163</f>
        <v>42646</v>
      </c>
      <c r="B163" s="16">
        <f>摂取カロリーと体重増減関係!B161+摂取カロリーと体重増減関係!B162</f>
        <v>-656.33333333333371</v>
      </c>
      <c r="C163">
        <f>基データ!B163-基データ!B162</f>
        <v>-0.20000000000000284</v>
      </c>
      <c r="D163">
        <f>(基データ!K161-330)+(基データ!K162-330)</f>
        <v>101</v>
      </c>
    </row>
    <row r="164" spans="1:4" x14ac:dyDescent="0.65">
      <c r="A164" s="9">
        <f>基データ!A164</f>
        <v>42647</v>
      </c>
      <c r="B164" s="16">
        <f>摂取カロリーと体重増減関係!B162+摂取カロリーと体重増減関係!B163</f>
        <v>1094.6708074534165</v>
      </c>
      <c r="C164">
        <f>基データ!B164-基データ!B163</f>
        <v>0</v>
      </c>
      <c r="D164">
        <f>(基データ!K162-330)+(基データ!K163-330)</f>
        <v>-407</v>
      </c>
    </row>
    <row r="165" spans="1:4" x14ac:dyDescent="0.65">
      <c r="A165" s="9">
        <f>基データ!A165</f>
        <v>42648</v>
      </c>
      <c r="B165" s="16">
        <f>摂取カロリーと体重増減関係!B163+摂取カロリーと体重増減関係!B164</f>
        <v>1946.6625258799177</v>
      </c>
      <c r="C165">
        <f>基データ!B165-基データ!B164</f>
        <v>0</v>
      </c>
      <c r="D165">
        <f>(基データ!K163-330)+(基データ!K164-330)</f>
        <v>-355</v>
      </c>
    </row>
    <row r="166" spans="1:4" x14ac:dyDescent="0.65">
      <c r="A166" s="9">
        <f>基データ!A166</f>
        <v>42649</v>
      </c>
      <c r="B166" s="16">
        <f>摂取カロリーと体重増減関係!B164+摂取カロリーと体重増減関係!B165</f>
        <v>1571.6625258799177</v>
      </c>
      <c r="C166">
        <f>基データ!B166-基データ!B165</f>
        <v>0.30000000000001137</v>
      </c>
      <c r="D166">
        <f>(基データ!K164-330)+(基データ!K165-330)</f>
        <v>-252</v>
      </c>
    </row>
    <row r="167" spans="1:4" x14ac:dyDescent="0.65">
      <c r="A167" s="9">
        <f>基データ!A167</f>
        <v>42650</v>
      </c>
      <c r="B167" s="16">
        <f>摂取カロリーと体重増減関係!B165+摂取カロリーと体重増減関係!B166</f>
        <v>411.67494824016558</v>
      </c>
      <c r="C167">
        <f>基データ!B167-基データ!B166</f>
        <v>0.19999999999998863</v>
      </c>
      <c r="D167">
        <f>(基データ!K165-330)+(基データ!K166-330)</f>
        <v>100</v>
      </c>
    </row>
    <row r="168" spans="1:4" x14ac:dyDescent="0.65">
      <c r="A168" s="9">
        <f>基データ!A168</f>
        <v>42651</v>
      </c>
      <c r="B168" s="16">
        <f>摂取カロリーと体重増減関係!B166+摂取カロリーと体重増減関係!B167</f>
        <v>1869.6956521739125</v>
      </c>
      <c r="C168">
        <f>基データ!B168-基データ!B167</f>
        <v>0</v>
      </c>
      <c r="D168">
        <f>(基データ!K166-330)+(基データ!K167-330)</f>
        <v>149</v>
      </c>
    </row>
    <row r="169" spans="1:4" x14ac:dyDescent="0.65">
      <c r="A169" s="9">
        <f>基データ!A169</f>
        <v>42652</v>
      </c>
      <c r="B169" s="16">
        <f>摂取カロリーと体重増減関係!B167+摂取カロリーと体重増減関係!B168</f>
        <v>1488.7039337474116</v>
      </c>
      <c r="C169">
        <f>基データ!B169-基データ!B168</f>
        <v>-0.5</v>
      </c>
      <c r="D169">
        <f>(基データ!K167-330)+(基データ!K168-330)</f>
        <v>55</v>
      </c>
    </row>
    <row r="170" spans="1:4" x14ac:dyDescent="0.65">
      <c r="A170" s="9">
        <f>基データ!A170</f>
        <v>42653</v>
      </c>
      <c r="B170" s="16">
        <f>摂取カロリーと体重増減関係!B168+摂取カロリーと体重増減関係!B169</f>
        <v>-773.31677018633536</v>
      </c>
      <c r="C170">
        <f>基データ!B170-基データ!B169</f>
        <v>-0.19999999999998863</v>
      </c>
      <c r="D170">
        <f>(基データ!K168-330)+(基データ!K169-330)</f>
        <v>216</v>
      </c>
    </row>
    <row r="171" spans="1:4" x14ac:dyDescent="0.65">
      <c r="A171" s="9">
        <f>基データ!A171</f>
        <v>42654</v>
      </c>
      <c r="B171" s="16">
        <f>摂取カロリーと体重増減関係!B169+摂取カロリーと体重増減関係!B170</f>
        <v>-708.34575569358185</v>
      </c>
      <c r="C171">
        <f>基データ!B171-基データ!B170</f>
        <v>9.9999999999994316E-2</v>
      </c>
      <c r="D171">
        <f>(基データ!K169-330)+(基データ!K170-330)</f>
        <v>548</v>
      </c>
    </row>
    <row r="172" spans="1:4" x14ac:dyDescent="0.65">
      <c r="A172" s="9">
        <f>基データ!A172</f>
        <v>42655</v>
      </c>
      <c r="B172" s="16">
        <f>摂取カロリーと体重増減関係!B170+摂取カロリーと体重増減関係!B171</f>
        <v>-551.34989648033206</v>
      </c>
      <c r="C172">
        <f>基データ!B172-基データ!B171</f>
        <v>0.5</v>
      </c>
      <c r="D172">
        <f>(基データ!K170-330)+(基データ!K171-330)</f>
        <v>263</v>
      </c>
    </row>
    <row r="173" spans="1:4" x14ac:dyDescent="0.65">
      <c r="A173" s="9">
        <f>基データ!A173</f>
        <v>42656</v>
      </c>
      <c r="B173" s="16">
        <f>摂取カロリーと体重増減関係!B171+摂取カロリーと体重増減関係!B172</f>
        <v>512.67494824016558</v>
      </c>
      <c r="C173">
        <f>基データ!B173-基データ!B172</f>
        <v>-0.59999999999999432</v>
      </c>
      <c r="D173">
        <f>(基データ!K171-330)+(基データ!K172-330)</f>
        <v>-31</v>
      </c>
    </row>
    <row r="174" spans="1:4" x14ac:dyDescent="0.65">
      <c r="A174" s="9">
        <f>基データ!A174</f>
        <v>42657</v>
      </c>
      <c r="B174" s="16">
        <f>摂取カロリーと体重増減関係!B172+摂取カロリーと体重増減関係!B173</f>
        <v>376.67080745341627</v>
      </c>
      <c r="C174">
        <f>基データ!B174-基データ!B173</f>
        <v>-0.30000000000001137</v>
      </c>
      <c r="D174">
        <f>(基データ!K172-330)+(基データ!K173-330)</f>
        <v>-9</v>
      </c>
    </row>
    <row r="175" spans="1:4" x14ac:dyDescent="0.65">
      <c r="A175" s="9">
        <f>基データ!A175</f>
        <v>42658</v>
      </c>
      <c r="B175" s="16">
        <f>摂取カロリーと体重増減関係!B173+摂取カロリーと体重増減関係!B174</f>
        <v>-168.36645962732928</v>
      </c>
      <c r="C175">
        <f>基データ!B175-基データ!B174</f>
        <v>1.3000000000000114</v>
      </c>
      <c r="D175">
        <f>(基データ!K173-330)+(基データ!K174-330)</f>
        <v>-33</v>
      </c>
    </row>
    <row r="176" spans="1:4" x14ac:dyDescent="0.65">
      <c r="A176" s="9">
        <f>基データ!A176</f>
        <v>42659</v>
      </c>
      <c r="B176" s="16">
        <f>摂取カロリーと体重増減関係!B174+摂取カロリーと体重増減関係!B175</f>
        <v>-591.32505175983442</v>
      </c>
      <c r="C176">
        <f>基データ!B176-基データ!B175</f>
        <v>-0.10000000000000853</v>
      </c>
      <c r="D176">
        <f>(基データ!K174-330)+(基データ!K175-330)</f>
        <v>328</v>
      </c>
    </row>
    <row r="177" spans="1:4" x14ac:dyDescent="0.65">
      <c r="A177" s="9">
        <f>基データ!A177</f>
        <v>42660</v>
      </c>
      <c r="B177" s="16">
        <f>摂取カロリーと体重増減関係!B175+摂取カロリーと体重増減関係!B176</f>
        <v>-1401.275362318841</v>
      </c>
      <c r="C177">
        <f>基データ!B177-基データ!B176</f>
        <v>-0.70000000000000284</v>
      </c>
      <c r="D177">
        <f>(基データ!K175-330)+(基データ!K176-330)</f>
        <v>760</v>
      </c>
    </row>
    <row r="178" spans="1:4" x14ac:dyDescent="0.65">
      <c r="A178" s="9">
        <f>基データ!A178</f>
        <v>42661</v>
      </c>
      <c r="B178" s="16">
        <f>摂取カロリーと体重増減関係!B176+摂取カロリーと体重増減関係!B177</f>
        <v>-971.3084886128363</v>
      </c>
      <c r="C178">
        <f>基データ!B178-基データ!B177</f>
        <v>0.20000000000000284</v>
      </c>
      <c r="D178">
        <f>(基データ!K176-330)+(基データ!K177-330)</f>
        <v>388</v>
      </c>
    </row>
    <row r="179" spans="1:4" x14ac:dyDescent="0.65">
      <c r="A179" s="9">
        <f>基データ!A179</f>
        <v>42662</v>
      </c>
      <c r="B179" s="16">
        <f>摂取カロリーと体重増減関係!B177+摂取カロリーと体重増減関係!B178</f>
        <v>-27.329192546583727</v>
      </c>
      <c r="C179">
        <f>基データ!B179-基データ!B178</f>
        <v>0.5</v>
      </c>
      <c r="D179">
        <f>(基データ!K177-330)+(基データ!K178-330)</f>
        <v>-113</v>
      </c>
    </row>
    <row r="180" spans="1:4" x14ac:dyDescent="0.65">
      <c r="A180" s="9">
        <f>基データ!A180</f>
        <v>42663</v>
      </c>
      <c r="B180" s="16">
        <f>摂取カロリーと体重増減関係!B178+摂取カロリーと体重増減関係!B179</f>
        <v>4.6997929606623075</v>
      </c>
      <c r="C180">
        <f>基データ!B180-基データ!B179</f>
        <v>-0.5</v>
      </c>
      <c r="D180">
        <f>(基データ!K178-330)+(基データ!K179-330)</f>
        <v>-166</v>
      </c>
    </row>
    <row r="181" spans="1:4" x14ac:dyDescent="0.65">
      <c r="A181" s="9">
        <f>基データ!A181</f>
        <v>42664</v>
      </c>
      <c r="B181" s="16">
        <f>摂取カロリーと体重増減関係!B179+摂取カロリーと体重増減関係!B180</f>
        <v>590.69979296066231</v>
      </c>
      <c r="C181">
        <f>基データ!B181-基データ!B180</f>
        <v>0.5</v>
      </c>
      <c r="D181">
        <f>(基データ!K179-330)+(基データ!K180-330)</f>
        <v>-108</v>
      </c>
    </row>
    <row r="182" spans="1:4" x14ac:dyDescent="0.65">
      <c r="A182" s="9">
        <f>基データ!A182</f>
        <v>42665</v>
      </c>
      <c r="B182" s="16">
        <f>摂取カロリーと体重増減関係!B180+摂取カロリーと体重増減関係!B181</f>
        <v>1332.6997929606623</v>
      </c>
      <c r="C182">
        <f>基データ!B182-基データ!B181</f>
        <v>0.20000000000000284</v>
      </c>
      <c r="D182">
        <f>(基データ!K180-330)+(基データ!K181-330)</f>
        <v>133</v>
      </c>
    </row>
    <row r="183" spans="1:4" x14ac:dyDescent="0.65">
      <c r="A183" s="9">
        <f>基データ!A183</f>
        <v>42666</v>
      </c>
      <c r="B183" s="16">
        <f>摂取カロリーと体重増減関係!B181+摂取カロリーと体重増減関係!B182</f>
        <v>-65.271221532091658</v>
      </c>
      <c r="C183">
        <f>基データ!B183-基データ!B182</f>
        <v>-1.2000000000000028</v>
      </c>
      <c r="D183">
        <f>(基データ!K181-330)+(基データ!K182-330)</f>
        <v>345</v>
      </c>
    </row>
    <row r="184" spans="1:4" x14ac:dyDescent="0.65">
      <c r="A184" s="9">
        <f>基データ!A184</f>
        <v>42667</v>
      </c>
      <c r="B184" s="16">
        <f>摂取カロリーと体重増減関係!B182+摂取カロリーと体重増減関係!B183</f>
        <v>-43.312629399586513</v>
      </c>
      <c r="C184">
        <f>基データ!B184-基データ!B183</f>
        <v>0.40000000000000568</v>
      </c>
      <c r="D184">
        <f>(基データ!K182-330)+(基データ!K183-330)</f>
        <v>570</v>
      </c>
    </row>
    <row r="185" spans="1:4" x14ac:dyDescent="0.65">
      <c r="A185" s="9">
        <f>基データ!A185</f>
        <v>42668</v>
      </c>
      <c r="B185" s="16">
        <f>摂取カロリーと体重増減関係!B183+摂取カロリーと体重増減関係!B184</f>
        <v>407.65424430641815</v>
      </c>
      <c r="C185">
        <f>基データ!B185-基データ!B184</f>
        <v>0.5</v>
      </c>
      <c r="D185">
        <f>(基データ!K183-330)+(基データ!K184-330)</f>
        <v>415</v>
      </c>
    </row>
    <row r="186" spans="1:4" x14ac:dyDescent="0.65">
      <c r="A186" s="9">
        <f>基データ!A186</f>
        <v>42669</v>
      </c>
      <c r="B186" s="16">
        <f>摂取カロリーと体重増減関係!B184+摂取カロリーと体重増減関係!B185</f>
        <v>495.6915113871637</v>
      </c>
      <c r="C186">
        <f>基データ!B186-基データ!B185</f>
        <v>-0.29999999999999716</v>
      </c>
      <c r="D186">
        <f>(基データ!K184-330)+(基データ!K185-330)</f>
        <v>-60</v>
      </c>
    </row>
    <row r="187" spans="1:4" x14ac:dyDescent="0.65">
      <c r="A187" s="9">
        <f>基データ!A187</f>
        <v>42670</v>
      </c>
      <c r="B187" s="16">
        <f>摂取カロリーと体重増減関係!B185+摂取カロリーと体重増減関係!B186</f>
        <v>1030.6997929606623</v>
      </c>
      <c r="C187">
        <f>基データ!B187-基データ!B186</f>
        <v>9.9999999999994316E-2</v>
      </c>
      <c r="D187">
        <f>(基データ!K185-330)+(基データ!K186-330)</f>
        <v>-368</v>
      </c>
    </row>
    <row r="188" spans="1:4" x14ac:dyDescent="0.65">
      <c r="A188" s="9">
        <f>基データ!A188</f>
        <v>42671</v>
      </c>
      <c r="B188" s="16">
        <f>摂取カロリーと体重増減関係!B186+摂取カロリーと体重増減関係!B187</f>
        <v>568.6915113871637</v>
      </c>
      <c r="C188">
        <f>基データ!B188-基データ!B187</f>
        <v>0</v>
      </c>
      <c r="D188">
        <f>(基データ!K186-330)+(基データ!K187-330)</f>
        <v>-134</v>
      </c>
    </row>
    <row r="189" spans="1:4" x14ac:dyDescent="0.65">
      <c r="A189" s="9">
        <f>基データ!A189</f>
        <v>42672</v>
      </c>
      <c r="B189" s="16">
        <f>摂取カロリーと体重増減関係!B187+摂取カロリーと体重増減関係!B188</f>
        <v>167.69565217391391</v>
      </c>
      <c r="C189">
        <f>基データ!B189-基データ!B188</f>
        <v>0.20000000000000284</v>
      </c>
      <c r="D189">
        <f>(基データ!K187-330)+(基データ!K188-330)</f>
        <v>15</v>
      </c>
    </row>
    <row r="190" spans="1:4" x14ac:dyDescent="0.65">
      <c r="A190" s="9">
        <f>基データ!A190</f>
        <v>42673</v>
      </c>
      <c r="B190" s="16">
        <f>摂取カロリーと体重増減関係!B188+摂取カロリーと体重増減関係!B189</f>
        <v>-544.29606625258748</v>
      </c>
      <c r="C190">
        <f>基データ!B190-基データ!B189</f>
        <v>0.39999999999999147</v>
      </c>
      <c r="D190">
        <f>(基データ!K188-330)+(基データ!K189-330)</f>
        <v>229</v>
      </c>
    </row>
    <row r="191" spans="1:4" x14ac:dyDescent="0.65">
      <c r="A191" s="9">
        <f>基データ!A191</f>
        <v>42674</v>
      </c>
      <c r="B191" s="16">
        <f>摂取カロリーと体重増減関係!B189+摂取カロリーと体重増減関係!B190</f>
        <v>-270.27122153209075</v>
      </c>
      <c r="C191">
        <f>基データ!B191-基データ!B190</f>
        <v>-0.29999999999999716</v>
      </c>
      <c r="D191">
        <f>(基データ!K189-330)+(基データ!K190-330)</f>
        <v>208</v>
      </c>
    </row>
    <row r="192" spans="1:4" x14ac:dyDescent="0.65">
      <c r="A192" s="9">
        <f>基データ!A192</f>
        <v>42675</v>
      </c>
      <c r="B192" s="16">
        <f>摂取カロリーと体重増減関係!B190+摂取カロリーと体重増減関係!B191</f>
        <v>94.732919254658555</v>
      </c>
      <c r="C192">
        <f>基データ!B192-基データ!B191</f>
        <v>-9.9999999999994316E-2</v>
      </c>
      <c r="D192">
        <f>(基データ!K190-330)+(基データ!K191-330)</f>
        <v>-49</v>
      </c>
    </row>
    <row r="193" spans="1:4" x14ac:dyDescent="0.65">
      <c r="A193" s="9">
        <f>基データ!A193</f>
        <v>42676</v>
      </c>
      <c r="B193" s="16">
        <f>摂取カロリーと体重増減関係!B191+摂取カロリーと体重増減関係!B192</f>
        <v>-69.283643892339569</v>
      </c>
      <c r="C193">
        <f>基データ!B193-基データ!B192</f>
        <v>0</v>
      </c>
      <c r="D193">
        <f>(基データ!K191-330)+(基データ!K192-330)</f>
        <v>27</v>
      </c>
    </row>
    <row r="194" spans="1:4" x14ac:dyDescent="0.65">
      <c r="A194" s="9">
        <f>基データ!A194</f>
        <v>42677</v>
      </c>
      <c r="B194" s="16">
        <f>摂取カロリーと体重増減関係!B192+摂取カロリーと体重増減関係!B193</f>
        <v>118.71221532091113</v>
      </c>
      <c r="C194">
        <f>基データ!B194-基データ!B193</f>
        <v>0.70000000000000284</v>
      </c>
      <c r="D194">
        <f>(基データ!K192-330)+(基データ!K193-330)</f>
        <v>499</v>
      </c>
    </row>
    <row r="195" spans="1:4" x14ac:dyDescent="0.65">
      <c r="A195" s="9">
        <f>基データ!A195</f>
        <v>42678</v>
      </c>
      <c r="B195" s="16">
        <f>摂取カロリーと体重増減関係!B193+摂取カロリーと体重増減関係!B194</f>
        <v>-361.25879917184284</v>
      </c>
      <c r="C195">
        <f>基データ!B195-基データ!B194</f>
        <v>-0.90000000000000568</v>
      </c>
      <c r="D195">
        <f>(基データ!K193-330)+(基データ!K194-330)</f>
        <v>358</v>
      </c>
    </row>
    <row r="196" spans="1:4" x14ac:dyDescent="0.65">
      <c r="A196" s="9">
        <f>基データ!A196</f>
        <v>42679</v>
      </c>
      <c r="B196" s="16">
        <f>摂取カロリーと体重増減関係!B194+摂取カロリーと体重増減関係!B195</f>
        <v>384.73291925465855</v>
      </c>
      <c r="C196">
        <f>基データ!B196-基データ!B195</f>
        <v>1.2999999999999972</v>
      </c>
      <c r="D196">
        <f>(基データ!K194-330)+(基データ!K195-330)</f>
        <v>-18</v>
      </c>
    </row>
    <row r="197" spans="1:4" x14ac:dyDescent="0.65">
      <c r="A197" s="9">
        <f>基データ!A197</f>
        <v>42680</v>
      </c>
      <c r="B197" s="16">
        <f>摂取カロリーと体重増減関係!B195+摂取カロリーと体重増減関係!B196</f>
        <v>820.74948240165668</v>
      </c>
      <c r="C197">
        <f>基データ!B197-基データ!B196</f>
        <v>-1</v>
      </c>
      <c r="D197">
        <f>(基データ!K195-330)+(基データ!K196-330)</f>
        <v>308</v>
      </c>
    </row>
    <row r="198" spans="1:4" x14ac:dyDescent="0.65">
      <c r="A198" s="9">
        <f>基データ!A198</f>
        <v>42681</v>
      </c>
      <c r="B198" s="16">
        <f>摂取カロリーと体重増減関係!B196+摂取カロリーと体重増減関係!B197</f>
        <v>-558.23809523809541</v>
      </c>
      <c r="C198">
        <f>基データ!B198-基データ!B197</f>
        <v>-1.0999999999999943</v>
      </c>
      <c r="D198">
        <f>(基データ!K196-330)+(基データ!K197-330)</f>
        <v>638</v>
      </c>
    </row>
    <row r="199" spans="1:4" x14ac:dyDescent="0.65">
      <c r="A199" s="9">
        <f>基データ!A199</f>
        <v>42682</v>
      </c>
      <c r="B199" s="16">
        <f>摂取カロリーと体重増減関係!B197+摂取カロリーと体重増減関係!B198</f>
        <v>-572.32505175983442</v>
      </c>
      <c r="C199">
        <f>基データ!B199-基データ!B198</f>
        <v>1.0999999999999943</v>
      </c>
      <c r="D199">
        <f>(基データ!K197-330)+(基データ!K198-330)</f>
        <v>931</v>
      </c>
    </row>
    <row r="200" spans="1:4" x14ac:dyDescent="0.65">
      <c r="A200" s="9">
        <f>基データ!A200</f>
        <v>42683</v>
      </c>
      <c r="B200" s="16">
        <f>摂取カロリーと体重増減関係!B198+摂取カロリーと体重増減関係!B199</f>
        <v>-304.32505175983442</v>
      </c>
      <c r="C200">
        <f>基データ!B200-基データ!B199</f>
        <v>-0.39999999999999147</v>
      </c>
      <c r="D200">
        <f>(基データ!K198-330)+(基データ!K199-330)</f>
        <v>600</v>
      </c>
    </row>
    <row r="201" spans="1:4" x14ac:dyDescent="0.65">
      <c r="A201" s="9">
        <f>基データ!A201</f>
        <v>42684</v>
      </c>
      <c r="B201" s="16">
        <f>摂取カロリーと体重増減関係!B199+摂取カロリーと体重増減関係!B200</f>
        <v>80.703933747411611</v>
      </c>
      <c r="C201">
        <f>基データ!B201-基データ!B200</f>
        <v>0.29999999999999716</v>
      </c>
      <c r="D201">
        <f>(基データ!K199-330)+(基データ!K200-330)</f>
        <v>371</v>
      </c>
    </row>
    <row r="202" spans="1:4" x14ac:dyDescent="0.65">
      <c r="A202" s="9">
        <f>基データ!A202</f>
        <v>42685</v>
      </c>
      <c r="B202" s="16">
        <f>摂取カロリーと体重増減関係!B200+摂取カロリーと体重増減関係!B201</f>
        <v>777.69979296066231</v>
      </c>
      <c r="C202">
        <f>基データ!B202-基データ!B201</f>
        <v>0.89999999999999147</v>
      </c>
      <c r="D202">
        <f>(基データ!K200-330)+(基データ!K201-330)</f>
        <v>344</v>
      </c>
    </row>
    <row r="203" spans="1:4" x14ac:dyDescent="0.65">
      <c r="A203" s="9">
        <f>基データ!A203</f>
        <v>42686</v>
      </c>
      <c r="B203" s="16">
        <f>摂取カロリーと体重増減関係!B201+摂取カロリーと体重増減関係!B202</f>
        <v>466.74948240165668</v>
      </c>
      <c r="C203">
        <f>基データ!B203-基データ!B202</f>
        <v>-1</v>
      </c>
      <c r="D203">
        <f>(基データ!K201-330)+(基データ!K202-330)</f>
        <v>-83</v>
      </c>
    </row>
    <row r="204" spans="1:4" x14ac:dyDescent="0.65">
      <c r="A204" s="9">
        <f>基データ!A204</f>
        <v>42687</v>
      </c>
      <c r="B204" s="16">
        <f>摂取カロリーと体重増減関係!B202+摂取カロリーと体重増減関係!B203</f>
        <v>-1104.2546583850931</v>
      </c>
      <c r="C204">
        <f>基データ!B204-基データ!B203</f>
        <v>-0.39999999999999147</v>
      </c>
      <c r="D204">
        <f>(基データ!K202-330)+(基データ!K203-330)</f>
        <v>332</v>
      </c>
    </row>
    <row r="205" spans="1:4" x14ac:dyDescent="0.65">
      <c r="A205" s="9">
        <f>基データ!A205</f>
        <v>42688</v>
      </c>
      <c r="B205" s="16">
        <f>摂取カロリーと体重増減関係!B203+摂取カロリーと体重増減関係!B204</f>
        <v>-1046.3126293995861</v>
      </c>
      <c r="C205">
        <f>基データ!B205-基データ!B204</f>
        <v>0.39999999999999147</v>
      </c>
      <c r="D205">
        <f>(基データ!K203-330)+(基データ!K204-330)</f>
        <v>361</v>
      </c>
    </row>
    <row r="206" spans="1:4" x14ac:dyDescent="0.65">
      <c r="A206" s="9">
        <f>基データ!A206</f>
        <v>42689</v>
      </c>
      <c r="B206" s="16">
        <f>摂取カロリーと体重増減関係!B204+摂取カロリーと体重増減関係!B205</f>
        <v>212.68737060041394</v>
      </c>
      <c r="C206">
        <f>基データ!B206-基データ!B205</f>
        <v>-0.39999999999999147</v>
      </c>
      <c r="D206">
        <f>(基データ!K204-330)+(基データ!K205-330)</f>
        <v>-459</v>
      </c>
    </row>
    <row r="207" spans="1:4" x14ac:dyDescent="0.65">
      <c r="A207" s="9">
        <f>基データ!A207</f>
        <v>42690</v>
      </c>
      <c r="C207">
        <f>基データ!B207-基データ!B206</f>
        <v>1</v>
      </c>
    </row>
    <row r="208" spans="1:4" x14ac:dyDescent="0.65">
      <c r="A208" s="9">
        <f>基データ!A208</f>
        <v>42691</v>
      </c>
    </row>
    <row r="209" spans="1:1" x14ac:dyDescent="0.65">
      <c r="A209" s="9">
        <f>基データ!A209</f>
        <v>42692</v>
      </c>
    </row>
    <row r="210" spans="1:1" x14ac:dyDescent="0.65">
      <c r="A210" s="9">
        <f>基データ!A210</f>
        <v>42693</v>
      </c>
    </row>
    <row r="211" spans="1:1" x14ac:dyDescent="0.65">
      <c r="A211" s="9">
        <f>基データ!A211</f>
        <v>42694</v>
      </c>
    </row>
    <row r="212" spans="1:1" x14ac:dyDescent="0.65">
      <c r="A212" s="9">
        <f>基データ!A212</f>
        <v>42695</v>
      </c>
    </row>
    <row r="213" spans="1:1" x14ac:dyDescent="0.65">
      <c r="A213" s="9">
        <f>基データ!A213</f>
        <v>42696</v>
      </c>
    </row>
    <row r="214" spans="1:1" x14ac:dyDescent="0.65">
      <c r="A214" s="9">
        <f>基データ!A214</f>
        <v>42697</v>
      </c>
    </row>
    <row r="215" spans="1:1" x14ac:dyDescent="0.65">
      <c r="A215" s="9">
        <f>基データ!A215</f>
        <v>42698</v>
      </c>
    </row>
    <row r="216" spans="1:1" x14ac:dyDescent="0.65">
      <c r="A216" s="9">
        <f>基データ!A216</f>
        <v>42699</v>
      </c>
    </row>
    <row r="217" spans="1:1" x14ac:dyDescent="0.65">
      <c r="A217" s="9">
        <f>基データ!A217</f>
        <v>42700</v>
      </c>
    </row>
    <row r="218" spans="1:1" x14ac:dyDescent="0.65">
      <c r="A218" s="9">
        <f>基データ!A218</f>
        <v>42701</v>
      </c>
    </row>
    <row r="219" spans="1:1" x14ac:dyDescent="0.65">
      <c r="A219" s="9">
        <f>基データ!A219</f>
        <v>42702</v>
      </c>
    </row>
  </sheetData>
  <phoneticPr fontId="1"/>
  <pageMargins left="0.7" right="0.7" top="0.75" bottom="0.75" header="0.3" footer="0.3"/>
  <pageSetup paperSize="9" scale="3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基データ</vt:lpstr>
      <vt:lpstr>摂取カロリーと体重増減関係</vt:lpstr>
      <vt:lpstr>(前々日と前日)のカロリー差合算と当日朝体重増減関係</vt:lpstr>
      <vt:lpstr>'(前々日と前日)のカロリー差合算と当日朝体重増減関係'!Print_Area</vt:lpstr>
      <vt:lpstr>基データ!Print_Area</vt:lpstr>
      <vt:lpstr>摂取カロリーと体重増減関係!Print_Area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f-ohkawara</dc:creator>
  <cp:lastModifiedBy>f-ohkawara</cp:lastModifiedBy>
  <cp:lastPrinted>2016-11-16T04:40:50Z</cp:lastPrinted>
  <dcterms:created xsi:type="dcterms:W3CDTF">2016-05-17T02:07:34Z</dcterms:created>
  <dcterms:modified xsi:type="dcterms:W3CDTF">2016-11-16T04:47:06Z</dcterms:modified>
</cp:coreProperties>
</file>